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Items" state="visible" r:id="rId5"/>
    <sheet sheetId="3" name="Measurement" state="visible" r:id="rId6"/>
    <sheet sheetId="4" name="Claim lines" state="visible" r:id="rId7"/>
    <sheet sheetId="5" name="Claims" state="visible" r:id="rId8"/>
    <sheet sheetId="6" name="Schedules" state="visible" r:id="rId9"/>
    <sheet sheetId="7" name="Payments" state="visible" r:id="rId10"/>
    <sheet sheetId="8" name="Retention" state="visible" r:id="rId11"/>
    <sheet sheetId="9" name="Variations" state="visible" r:id="rId12"/>
    <sheet sheetId="10" name="RFIs" state="visible" r:id="rId13"/>
    <sheet sheetId="11" name="Procurement" state="visible" r:id="rId14"/>
    <sheet sheetId="12" name="Transmittals" state="visible" r:id="rId15"/>
    <sheet sheetId="13" name="Diary index" state="visible" r:id="rId16"/>
    <sheet sheetId="14" name="Budget" state="visible" r:id="rId17"/>
    <sheet sheetId="15" name="Budget changes" state="visible" r:id="rId18"/>
    <sheet sheetId="16" name="Cash flow" state="visible" r:id="rId19"/>
    <sheet sheetId="17" name="Risks" state="visible" r:id="rId20"/>
    <sheet sheetId="18" name="Programme" state="visible" r:id="rId21"/>
    <sheet sheetId="19" name="Supplier invoices" state="visible" r:id="rId22"/>
    <sheet sheetId="20" name="Plant" state="visible" r:id="rId23"/>
    <sheet sheetId="21" name="Plant hours" state="visible" r:id="rId24"/>
  </sheets>
  <calcPr calcId="171027" fullCalcOnLoad="1"/>
</workbook>
</file>

<file path=xl/sharedStrings.xml><?xml version="1.0" encoding="utf-8"?>
<sst xmlns="http://schemas.openxmlformats.org/spreadsheetml/2006/main" count="785" uniqueCount="520">
  <si>
    <t>PROJECT WORKBOOK</t>
  </si>
  <si>
    <t>12 Example Street townhouses (made-up sample). Formulas only: every figure comes from the sheets. Example rows are made up.</t>
  </si>
  <si>
    <t/>
  </si>
  <si>
    <t>Figure</t>
  </si>
  <si>
    <t>Contract value (Items)</t>
  </si>
  <si>
    <t>Value measured to date (Items)</t>
  </si>
  <si>
    <t>Claimed by us: claims sent (Claims)</t>
  </si>
  <si>
    <t>Scheduled on claims sent</t>
  </si>
  <si>
    <t>Paid on claims sent</t>
  </si>
  <si>
    <t>Claimed from us: claims received</t>
  </si>
  <si>
    <t>Scheduled on claims received</t>
  </si>
  <si>
    <t>Paid on claims received</t>
  </si>
  <si>
    <t>Retention held, all parties (Retention)</t>
  </si>
  <si>
    <t>Variations approved $ (Variations)</t>
  </si>
  <si>
    <t>Variations waiting on a decision, quoted $</t>
  </si>
  <si>
    <t>Variations with no notice date (count)</t>
  </si>
  <si>
    <t>RFIs open (count)</t>
  </si>
  <si>
    <t>RFIs overdue, unanswered (count)</t>
  </si>
  <si>
    <t>Committed on orders and subcontracts (Procurement)</t>
  </si>
  <si>
    <t>Claimed against orders and subcontracts</t>
  </si>
  <si>
    <t>Claims: schedule date passed, none recorded (count)</t>
  </si>
  <si>
    <t>Claims: payment date passed, not paid in full (count)</t>
  </si>
  <si>
    <t>Measurements with no diary ID (count)</t>
  </si>
  <si>
    <t>Site diary entries (count)</t>
  </si>
  <si>
    <t>Transmittals (count)</t>
  </si>
  <si>
    <t>Original budget (Budget)</t>
  </si>
  <si>
    <t>Current budget, after approved changes</t>
  </si>
  <si>
    <t>Contingency left</t>
  </si>
  <si>
    <t>Cash flow forecast, net (Cash flow)</t>
  </si>
  <si>
    <t>Live risks rated Extreme or High (count)</t>
  </si>
  <si>
    <t>How it links: Items → Measurement → Claim lines → Claims → Schedules → Payments and Retention, with Variations, RFIs, Procurement, Transmittals and the Diary index joined by their IDs. Each tool's CSV export pastes into its own sheet at cell A5.</t>
  </si>
  <si>
    <t>Dates: Construction Contracts Act 2002, s22(b) (payment schedule) and s18 (payment), 20 working days unless the contract says otherwise. Retention reports: s18FD(1)(b), "at least once in every 3 months". Source: legislation.govt.nz, checked 1 Nov 2026.</t>
  </si>
  <si>
    <t>Free template from Black Creek Solutions (blackcreek.co.nz). Information, not legal advice. Check it against your contract before you use it.</t>
  </si>
  <si>
    <t>ITEMS</t>
  </si>
  <si>
    <t>The contract items, with quantities and rates. Item IDs (IT-001) join every sheet. Type or paste into the white columns; the shaded ones are formulas. Example rows are made up.</t>
  </si>
  <si>
    <t>Item ID</t>
  </si>
  <si>
    <t>Description</t>
  </si>
  <si>
    <t>Unit</t>
  </si>
  <si>
    <t>Contract qty</t>
  </si>
  <si>
    <t>Rate</t>
  </si>
  <si>
    <t>Programme start</t>
  </si>
  <si>
    <t>Programme finish</t>
  </si>
  <si>
    <t>Contract value</t>
  </si>
  <si>
    <t>Measured qty to date</t>
  </si>
  <si>
    <t>% complete</t>
  </si>
  <si>
    <t>Value to date</t>
  </si>
  <si>
    <t>Claimed to date (claim lines)</t>
  </si>
  <si>
    <t>Measured, not yet claimed</t>
  </si>
  <si>
    <t>IT-001</t>
  </si>
  <si>
    <t>Foundations and slab</t>
  </si>
  <si>
    <t>m²</t>
  </si>
  <si>
    <t>IT-002</t>
  </si>
  <si>
    <t>Wall and roof framing</t>
  </si>
  <si>
    <t>IT-003</t>
  </si>
  <si>
    <t>Roofing</t>
  </si>
  <si>
    <t>IT-004</t>
  </si>
  <si>
    <t>Electrical rough-in</t>
  </si>
  <si>
    <t>each</t>
  </si>
  <si>
    <t>IT-005</t>
  </si>
  <si>
    <t>Cladding</t>
  </si>
  <si>
    <t>MEASUREMENT</t>
  </si>
  <si>
    <t>One row per measurement: the quantity measured that time. The diary ID and photo references back it up. Type or paste into the white columns; the shaded ones are formulas. Example rows are made up.</t>
  </si>
  <si>
    <t>Measurement ID</t>
  </si>
  <si>
    <t>Date</t>
  </si>
  <si>
    <t>Qty measured</t>
  </si>
  <si>
    <t>Area or location</t>
  </si>
  <si>
    <t>Diary ID</t>
  </si>
  <si>
    <t>Photo refs</t>
  </si>
  <si>
    <t>Measured by</t>
  </si>
  <si>
    <t>Notes</t>
  </si>
  <si>
    <t>Rate (from Items)</t>
  </si>
  <si>
    <t>Value measured</t>
  </si>
  <si>
    <t>Diary entry found</t>
  </si>
  <si>
    <t>M-001</t>
  </si>
  <si>
    <t>Blocks A and B</t>
  </si>
  <si>
    <t>D-001</t>
  </si>
  <si>
    <t>P-0101</t>
  </si>
  <si>
    <t>Sample site engineer</t>
  </si>
  <si>
    <t>M-002</t>
  </si>
  <si>
    <t>Level 1, blocks A and B</t>
  </si>
  <si>
    <t>D-004</t>
  </si>
  <si>
    <t>P-0144</t>
  </si>
  <si>
    <t>M-003</t>
  </si>
  <si>
    <t>Roof, block A</t>
  </si>
  <si>
    <t>D-006</t>
  </si>
  <si>
    <t>P-0160</t>
  </si>
  <si>
    <t>M-004</t>
  </si>
  <si>
    <t>Units 1 and 2</t>
  </si>
  <si>
    <t>P-0161</t>
  </si>
  <si>
    <t>M-005</t>
  </si>
  <si>
    <t>Block B</t>
  </si>
  <si>
    <t>D-008</t>
  </si>
  <si>
    <t>P-0175</t>
  </si>
  <si>
    <t>M-006</t>
  </si>
  <si>
    <t>CLAIM LINES</t>
  </si>
  <si>
    <t>One row per line of each claim, with the measurements behind it. Exported by the progress measurement sheet. Type or paste into the white columns; the shaded ones are formulas. Example rows are made up.</t>
  </si>
  <si>
    <t>Claim no</t>
  </si>
  <si>
    <t>Previously claimed</t>
  </si>
  <si>
    <t>This claim</t>
  </si>
  <si>
    <t>Measurement IDs</t>
  </si>
  <si>
    <t>Measurement named</t>
  </si>
  <si>
    <t>Check: to date less before less this claim (0)</t>
  </si>
  <si>
    <t>PC-01</t>
  </si>
  <si>
    <t>PC-02</t>
  </si>
  <si>
    <t>M-002, M-003</t>
  </si>
  <si>
    <t>CLAIMS</t>
  </si>
  <si>
    <t>The claims register's columns (sent and received), then the order ID. Rows paste from any tool's register CSV. Type or paste into the white columns; the shaded ones are formulas. Example rows are made up.</t>
  </si>
  <si>
    <t>Direction</t>
  </si>
  <si>
    <t>Contract</t>
  </si>
  <si>
    <t>Claimant</t>
  </si>
  <si>
    <t>Payer</t>
  </si>
  <si>
    <t>Period end</t>
  </si>
  <si>
    <t>Date served</t>
  </si>
  <si>
    <t>Schedule due</t>
  </si>
  <si>
    <t>Payment due</t>
  </si>
  <si>
    <t>Claimed (ex GST)</t>
  </si>
  <si>
    <t>Scheduled (ex GST)</t>
  </si>
  <si>
    <t>Paid (ex GST)</t>
  </si>
  <si>
    <t>Date paid</t>
  </si>
  <si>
    <t>Retention held this claim</t>
  </si>
  <si>
    <t>Retention released</t>
  </si>
  <si>
    <t>Order ID</t>
  </si>
  <si>
    <t>Claim lines total</t>
  </si>
  <si>
    <t>Scheduled (used)</t>
  </si>
  <si>
    <t>Paid (used)</t>
  </si>
  <si>
    <t>Variance (claimed less scheduled)</t>
  </si>
  <si>
    <t>Unpaid (after retention held)</t>
  </si>
  <si>
    <t>Status</t>
  </si>
  <si>
    <t>Sent</t>
  </si>
  <si>
    <t>12 Example Street townhouses (made-up sample)</t>
  </si>
  <si>
    <t>Sample Builders</t>
  </si>
  <si>
    <t>Sample Developments</t>
  </si>
  <si>
    <t>SC-05</t>
  </si>
  <si>
    <t>Received</t>
  </si>
  <si>
    <t>Sample Sparks</t>
  </si>
  <si>
    <t>PO-001</t>
  </si>
  <si>
    <t>SF-03</t>
  </si>
  <si>
    <t>Sample Framing Co</t>
  </si>
  <si>
    <t>PO-002</t>
  </si>
  <si>
    <t>SC-07</t>
  </si>
  <si>
    <t>SCHEDULES</t>
  </si>
  <si>
    <t>Payment schedules, by the claim they answer. Type or paste into the white columns; the shaded ones are formulas. Example rows are made up.</t>
  </si>
  <si>
    <t>Schedule ID</t>
  </si>
  <si>
    <t>Date of schedule</t>
  </si>
  <si>
    <t>Claimed</t>
  </si>
  <si>
    <t>Scheduled</t>
  </si>
  <si>
    <t>Reasons</t>
  </si>
  <si>
    <t>Difference (claimed less scheduled)</t>
  </si>
  <si>
    <t>Claim found</t>
  </si>
  <si>
    <t>PS-001</t>
  </si>
  <si>
    <t>PS-002</t>
  </si>
  <si>
    <t>$1,500 of day works not agreed: variation V02 still pending.</t>
  </si>
  <si>
    <t>PAYMENTS</t>
  </si>
  <si>
    <t>Payments, by the claim paid. Type or paste into the white columns; the shaded ones are formulas. Example rows are made up.</t>
  </si>
  <si>
    <t>Payment ID</t>
  </si>
  <si>
    <t>Amount paid (ex GST)</t>
  </si>
  <si>
    <t>Reference</t>
  </si>
  <si>
    <t>PAY-001</t>
  </si>
  <si>
    <t>Sample Developments remittance 5531 (after 5% retention)</t>
  </si>
  <si>
    <t>PAY-002</t>
  </si>
  <si>
    <t>Payment run 29 Oct (after 5% retention)</t>
  </si>
  <si>
    <t>RETENTION</t>
  </si>
  <si>
    <t>Retention held and released, by claim, order and party, with the date of each retention report. Type or paste into the white columns; the shaded ones are formulas. Example rows are made up.</t>
  </si>
  <si>
    <t>Retention ID</t>
  </si>
  <si>
    <t>Party</t>
  </si>
  <si>
    <t>Held this claim</t>
  </si>
  <si>
    <t>Released</t>
  </si>
  <si>
    <t>Report given</t>
  </si>
  <si>
    <t>Balance held for this party to date</t>
  </si>
  <si>
    <t>3 months after the report (s18FD(1)(b))</t>
  </si>
  <si>
    <t>R-001</t>
  </si>
  <si>
    <t>R-002</t>
  </si>
  <si>
    <t>R-003</t>
  </si>
  <si>
    <t>VARIATIONS</t>
  </si>
  <si>
    <t>The variations register, with the notice date, the RFI and the item each one comes from. Type or paste into the white columns; the shaded ones are formulas. Example rows are made up.</t>
  </si>
  <si>
    <t>Var no</t>
  </si>
  <si>
    <t>Rev</t>
  </si>
  <si>
    <t>Instruction / ref</t>
  </si>
  <si>
    <t>Submitted</t>
  </si>
  <si>
    <t>Approved</t>
  </si>
  <si>
    <t>Quoted $</t>
  </si>
  <si>
    <t>Approved $</t>
  </si>
  <si>
    <t>Claimed to date $</t>
  </si>
  <si>
    <t>Notice date</t>
  </si>
  <si>
    <t>RFI ID</t>
  </si>
  <si>
    <t>Notice recorded</t>
  </si>
  <si>
    <t>RFI found</t>
  </si>
  <si>
    <t>V01</t>
  </si>
  <si>
    <t>A</t>
  </si>
  <si>
    <t>Extra blocking to kitchen walls</t>
  </si>
  <si>
    <t>SI-004</t>
  </si>
  <si>
    <t>RFI-001</t>
  </si>
  <si>
    <t>V02</t>
  </si>
  <si>
    <t>Relocate power points, units 3 to 6</t>
  </si>
  <si>
    <t>Email 12 Oct</t>
  </si>
  <si>
    <t>Pending</t>
  </si>
  <si>
    <t>RFI-002</t>
  </si>
  <si>
    <t>RFIS</t>
  </si>
  <si>
    <t>RFIs and technical queries. A variation that comes from one names its RFI ID. Type or paste into the white columns; the shaded ones are formulas. Example rows are made up.</t>
  </si>
  <si>
    <t>Date raised</t>
  </si>
  <si>
    <t>Raised by</t>
  </si>
  <si>
    <t>To</t>
  </si>
  <si>
    <t>Question</t>
  </si>
  <si>
    <t>Response needed by</t>
  </si>
  <si>
    <t>Date answered</t>
  </si>
  <si>
    <t>Response</t>
  </si>
  <si>
    <t>Variation ID</t>
  </si>
  <si>
    <t>Sample Design (engineer)</t>
  </si>
  <si>
    <t>Kitchen wall cabinets: what blocking is needed?</t>
  </si>
  <si>
    <t>Two rows of 90 x 45 blocking, see SI-004.</t>
  </si>
  <si>
    <t>Units 3 to 6: confirm the new power point positions.</t>
  </si>
  <si>
    <t>RFI-003</t>
  </si>
  <si>
    <t>Sample site manager</t>
  </si>
  <si>
    <t>Cladding: cavity batten spacing at the corners.</t>
  </si>
  <si>
    <t>PROCUREMENT</t>
  </si>
  <si>
    <t>Orders and subcontracts. A claim received names its order ID in the Claims sheet. Type or paste into the white columns; the shaded ones are formulas. Example rows are made up.</t>
  </si>
  <si>
    <t>Type</t>
  </si>
  <si>
    <t>Supplier or subcontractor</t>
  </si>
  <si>
    <t>Date placed</t>
  </si>
  <si>
    <t>Committed value</t>
  </si>
  <si>
    <t>Retention %</t>
  </si>
  <si>
    <t>Forecast final (yours)</t>
  </si>
  <si>
    <t>Claimed (from Claims)</t>
  </si>
  <si>
    <t>Paid (from Claims)</t>
  </si>
  <si>
    <t>Retention held (from Retention)</t>
  </si>
  <si>
    <t>Committed, not yet claimed</t>
  </si>
  <si>
    <t>Forecast less committed</t>
  </si>
  <si>
    <t>Subcontract</t>
  </si>
  <si>
    <t>Electrical rough-in and fit-off</t>
  </si>
  <si>
    <t>Framing labour</t>
  </si>
  <si>
    <t>PO-003</t>
  </si>
  <si>
    <t>Order</t>
  </si>
  <si>
    <t>Sample Timber Supplies</t>
  </si>
  <si>
    <t>Framing timber</t>
  </si>
  <si>
    <t>TRANSMITTALS</t>
  </si>
  <si>
    <t>What was issued, to whom, when and how: the record of service for claims and schedules. Type or paste into the white columns; the shaded ones are formulas. Example rows are made up.</t>
  </si>
  <si>
    <t>Transmittal ID</t>
  </si>
  <si>
    <t>Date issued</t>
  </si>
  <si>
    <t>Document</t>
  </si>
  <si>
    <t>Number and revision</t>
  </si>
  <si>
    <t>Issued to</t>
  </si>
  <si>
    <t>How issued</t>
  </si>
  <si>
    <t>Purpose</t>
  </si>
  <si>
    <t>Related ID</t>
  </si>
  <si>
    <t>Acknowledged</t>
  </si>
  <si>
    <t>Days to acknowledge</t>
  </si>
  <si>
    <t>Related record found</t>
  </si>
  <si>
    <t>TR-001</t>
  </si>
  <si>
    <t>Payment claim PC-01 with Form 1</t>
  </si>
  <si>
    <t>PC-01 rev 0</t>
  </si>
  <si>
    <t>Email</t>
  </si>
  <si>
    <t>Payment claim</t>
  </si>
  <si>
    <t>TR-002</t>
  </si>
  <si>
    <t>Payment schedule PS-002</t>
  </si>
  <si>
    <t>PS-002 rev 0</t>
  </si>
  <si>
    <t>Delivered to the person</t>
  </si>
  <si>
    <t>Payment schedule</t>
  </si>
  <si>
    <t>TR-003</t>
  </si>
  <si>
    <t>Payment claim PC-02 with Form 1</t>
  </si>
  <si>
    <t>PC-02 rev 0</t>
  </si>
  <si>
    <t>DIARY INDEX</t>
  </si>
  <si>
    <t>One row per site diary entry, with the item IDs worked on and the photo references. Type or paste into the white columns; the shaded ones are formulas. Example rows are made up.</t>
  </si>
  <si>
    <t>Weather</t>
  </si>
  <si>
    <t>Labour</t>
  </si>
  <si>
    <t>People on site</t>
  </si>
  <si>
    <t>Plant</t>
  </si>
  <si>
    <t>Item IDs</t>
  </si>
  <si>
    <t>Work done</t>
  </si>
  <si>
    <t>Delays</t>
  </si>
  <si>
    <t>Delay cause</t>
  </si>
  <si>
    <t>Instructions</t>
  </si>
  <si>
    <t>Visitors</t>
  </si>
  <si>
    <t>Prepared by</t>
  </si>
  <si>
    <t>Measurements naming this entry</t>
  </si>
  <si>
    <t>Fine</t>
  </si>
  <si>
    <t>Concrete crew 6, labourers 2</t>
  </si>
  <si>
    <t>Concrete pump, 5 t digger</t>
  </si>
  <si>
    <t>Slab poured, blocks A and B.</t>
  </si>
  <si>
    <t>Engineer's slab inspection (Sample Design)</t>
  </si>
  <si>
    <t>P-0101, P-0102</t>
  </si>
  <si>
    <t>Showers</t>
  </si>
  <si>
    <t>Carpenters 5, labourers 1</t>
  </si>
  <si>
    <t>Telehandler</t>
  </si>
  <si>
    <t>Level 1 walls framed, blocks A and B.</t>
  </si>
  <si>
    <t>1 hour lost to rain</t>
  </si>
  <si>
    <t>SI-004: extra blocking to kitchen walls</t>
  </si>
  <si>
    <t>Carpenters 5, electricians 2</t>
  </si>
  <si>
    <t>Telehandler, scissor lift</t>
  </si>
  <si>
    <t>IT-002, IT-004</t>
  </si>
  <si>
    <t>Roof trusses up, block A. Electrical rough-in, units 1 and 2.</t>
  </si>
  <si>
    <t>Client's representative site walk</t>
  </si>
  <si>
    <t>P-0160, P-0161</t>
  </si>
  <si>
    <t>D-007</t>
  </si>
  <si>
    <t>Wind</t>
  </si>
  <si>
    <t>Carpenters 4, roofers 3</t>
  </si>
  <si>
    <t>IT-002, IT-003</t>
  </si>
  <si>
    <t>Framing, block B. Roofing started, block A.</t>
  </si>
  <si>
    <t>Roofing stopped from 2 pm: wind over 50 km/h</t>
  </si>
  <si>
    <t>P-0170</t>
  </si>
  <si>
    <t>Framing, block B. Roofing, block A.</t>
  </si>
  <si>
    <t>RFI-003 raised: cladding cavity battens</t>
  </si>
  <si>
    <t>BUDGET</t>
  </si>
  <si>
    <t>The budget by cost code, with the orders against each line. Contingency is a line of its own. Type or paste into the white columns; the shaded ones are formulas. Example rows are made up.</t>
  </si>
  <si>
    <t>Budget ID</t>
  </si>
  <si>
    <t>Cost code</t>
  </si>
  <si>
    <t>Category</t>
  </si>
  <si>
    <t>Original budget</t>
  </si>
  <si>
    <t>Order IDs</t>
  </si>
  <si>
    <t>Manager</t>
  </si>
  <si>
    <t>Approved changes</t>
  </si>
  <si>
    <t>Current budget</t>
  </si>
  <si>
    <t>Current budget less your forecast</t>
  </si>
  <si>
    <t>B-001</t>
  </si>
  <si>
    <t>01-100</t>
  </si>
  <si>
    <t>Preliminaries and site set-up</t>
  </si>
  <si>
    <t>Preliminaries</t>
  </si>
  <si>
    <t>Sample project manager</t>
  </si>
  <si>
    <t>Scaffold hire runs a month longer</t>
  </si>
  <si>
    <t>B-002</t>
  </si>
  <si>
    <t>04-100</t>
  </si>
  <si>
    <t>Sample QS</t>
  </si>
  <si>
    <t>B-003</t>
  </si>
  <si>
    <t>04-200</t>
  </si>
  <si>
    <t>Materials</t>
  </si>
  <si>
    <t>B-004</t>
  </si>
  <si>
    <t>05-200</t>
  </si>
  <si>
    <t>Electrical</t>
  </si>
  <si>
    <t>B-005</t>
  </si>
  <si>
    <t>99-000</t>
  </si>
  <si>
    <t>Contingency</t>
  </si>
  <si>
    <t>Sample cost controller</t>
  </si>
  <si>
    <t>BUDGET CHANGES</t>
  </si>
  <si>
    <t>Each change to the budget: new money in, or money moved from one line (such as contingency) to another. Only approved changes count. Type or paste into the white columns; the shaded ones are formulas. Example rows are made up.</t>
  </si>
  <si>
    <t>Change ID</t>
  </si>
  <si>
    <t>Change ($)</t>
  </si>
  <si>
    <t>Moved from (budget ID)</t>
  </si>
  <si>
    <t>Reason</t>
  </si>
  <si>
    <t>Approved by</t>
  </si>
  <si>
    <t>Approved on</t>
  </si>
  <si>
    <t>Budget line found</t>
  </si>
  <si>
    <t>BCH-001</t>
  </si>
  <si>
    <t>Framing subcontract let above budget</t>
  </si>
  <si>
    <t>BCH-002</t>
  </si>
  <si>
    <t>Extra switchboard capacity</t>
  </si>
  <si>
    <t>Proposed</t>
  </si>
  <si>
    <t>CASH FLOW</t>
  </si>
  <si>
    <t>Your forecast of money in and out, by month. Actual payments are in the Payments sheet. Type or paste into the white columns; the shaded ones are formulas. Example rows are made up.</t>
  </si>
  <si>
    <t>Forecast ID</t>
  </si>
  <si>
    <t>Month</t>
  </si>
  <si>
    <t>In or out</t>
  </si>
  <si>
    <t>Forecast amount</t>
  </si>
  <si>
    <t>Basis</t>
  </si>
  <si>
    <t>Net (in less out)</t>
  </si>
  <si>
    <t>CF-001</t>
  </si>
  <si>
    <t>2026-10</t>
  </si>
  <si>
    <t>In (income)</t>
  </si>
  <si>
    <t>PC-01 less retention</t>
  </si>
  <si>
    <t>CF-002</t>
  </si>
  <si>
    <t>Out (costs)</t>
  </si>
  <si>
    <t>SF-03 less retention</t>
  </si>
  <si>
    <t>CF-003</t>
  </si>
  <si>
    <t>2026-11</t>
  </si>
  <si>
    <t>PC-02 as claimed, less retention</t>
  </si>
  <si>
    <t>CF-004</t>
  </si>
  <si>
    <t>SC-07 and timber</t>
  </si>
  <si>
    <t>CF-005</t>
  </si>
  <si>
    <t>2026-12</t>
  </si>
  <si>
    <t>Roofing and cladding progress</t>
  </si>
  <si>
    <t>CF-006</t>
  </si>
  <si>
    <t>Framing complete, roofing materials</t>
  </si>
  <si>
    <t>RISKS</t>
  </si>
  <si>
    <t>The risk register. Rating is likelihood × consequence on a 5 by 5 scale: Extreme 15 to 25, High 10 to 14, Medium 5 to 9, Low 1 to 4. Type or paste into the white columns; the shaded ones are formulas. Example rows are made up.</t>
  </si>
  <si>
    <t>Risk ID</t>
  </si>
  <si>
    <t>Risk</t>
  </si>
  <si>
    <t>Cause</t>
  </si>
  <si>
    <t>What would happen</t>
  </si>
  <si>
    <t>Likelihood</t>
  </si>
  <si>
    <t>Consequence</t>
  </si>
  <si>
    <t>Treatment</t>
  </si>
  <si>
    <t>Owner</t>
  </si>
  <si>
    <t>Likelihood after</t>
  </si>
  <si>
    <t>Consequence after</t>
  </si>
  <si>
    <t>Cost if it happens</t>
  </si>
  <si>
    <t>Delay (working days)</t>
  </si>
  <si>
    <t>Raised</t>
  </si>
  <si>
    <t>Next review</t>
  </si>
  <si>
    <t>Rating now (likelihood × consequence)</t>
  </si>
  <si>
    <t>Level</t>
  </si>
  <si>
    <t>Rating after treatment</t>
  </si>
  <si>
    <t>RK-001</t>
  </si>
  <si>
    <t>Roofing iron delivery slips past the programme</t>
  </si>
  <si>
    <t>Supply chain</t>
  </si>
  <si>
    <t>Long lead time on the colour chosen</t>
  </si>
  <si>
    <t>Roofing starts late and the building isn't closed in</t>
  </si>
  <si>
    <t>3 Possible</t>
  </si>
  <si>
    <t>4 Major</t>
  </si>
  <si>
    <t>Order confirmed with two suppliers; delivery checked weekly</t>
  </si>
  <si>
    <t>2 Unlikely</t>
  </si>
  <si>
    <t>3 Moderate</t>
  </si>
  <si>
    <t>Open</t>
  </si>
  <si>
    <t>RK-002</t>
  </si>
  <si>
    <t>Wet weather during the slab pours</t>
  </si>
  <si>
    <t>Site and ground</t>
  </si>
  <si>
    <t>Spring rain</t>
  </si>
  <si>
    <t>Pours rescheduled, trades stood down</t>
  </si>
  <si>
    <t>4 Likely</t>
  </si>
  <si>
    <t>2 Minor</t>
  </si>
  <si>
    <t>Pour dates held loosely; covers on site</t>
  </si>
  <si>
    <t>Being treated</t>
  </si>
  <si>
    <t>RK-003</t>
  </si>
  <si>
    <t>Framing subcontractor short of labour</t>
  </si>
  <si>
    <t>Programme</t>
  </si>
  <si>
    <t>Other jobs in the area</t>
  </si>
  <si>
    <t>Framing runs past 20 November</t>
  </si>
  <si>
    <t>RK-004</t>
  </si>
  <si>
    <t>Fall from height at the roof stage</t>
  </si>
  <si>
    <t>Health and safety</t>
  </si>
  <si>
    <t>Work at the roof edge</t>
  </si>
  <si>
    <t>Serious harm to a worker</t>
  </si>
  <si>
    <t>5 Severe</t>
  </si>
  <si>
    <t>Scaffold with edge protection before roofing starts; daily checks</t>
  </si>
  <si>
    <t>1 Rare</t>
  </si>
  <si>
    <t>PROGRAMME</t>
  </si>
  <si>
    <t>The programme, loaded from P6 (XER) or MS Project (XML) or typed in. Item IDs tie an activity to the contract items. Type or paste into the white columns; the shaded ones are formulas. Example rows are made up.</t>
  </si>
  <si>
    <t>Activity ID</t>
  </si>
  <si>
    <t>Programme ID</t>
  </si>
  <si>
    <t>Activity</t>
  </si>
  <si>
    <t>WBS or area</t>
  </si>
  <si>
    <t>Planned start</t>
  </si>
  <si>
    <t>Planned finish</t>
  </si>
  <si>
    <t>Baseline finish</t>
  </si>
  <si>
    <t>Actual start</t>
  </si>
  <si>
    <t>Actual finish</t>
  </si>
  <si>
    <t>Milestone</t>
  </si>
  <si>
    <t>Critical</t>
  </si>
  <si>
    <t>Days past baseline</t>
  </si>
  <si>
    <t>ACT-0001</t>
  </si>
  <si>
    <t>A1000</t>
  </si>
  <si>
    <t>Site establishment</t>
  </si>
  <si>
    <t>Substructure</t>
  </si>
  <si>
    <t>No</t>
  </si>
  <si>
    <t>ACT-0002</t>
  </si>
  <si>
    <t>A1010</t>
  </si>
  <si>
    <t>Yes</t>
  </si>
  <si>
    <t>ACT-0003</t>
  </si>
  <si>
    <t>A1020</t>
  </si>
  <si>
    <t>Superstructure and envelope</t>
  </si>
  <si>
    <t>ACT-0004</t>
  </si>
  <si>
    <t>A1030</t>
  </si>
  <si>
    <t>ACT-0005</t>
  </si>
  <si>
    <t>A1040</t>
  </si>
  <si>
    <t>Building closed in</t>
  </si>
  <si>
    <t>SUPPLIER INVOICES</t>
  </si>
  <si>
    <t>Invoices from suppliers and subcontractors, each against its order. The app checks each one against the order, the claim and its schedule, the GST and repeats. Type or paste into the white columns; the shaded ones are formulas. Example rows are made up.</t>
  </si>
  <si>
    <t>Invoice ID</t>
  </si>
  <si>
    <t>Supplier</t>
  </si>
  <si>
    <t>Their invoice number</t>
  </si>
  <si>
    <t>Invoice date</t>
  </si>
  <si>
    <t>Due date</t>
  </si>
  <si>
    <t>GST number</t>
  </si>
  <si>
    <t>Before GST</t>
  </si>
  <si>
    <t>GST</t>
  </si>
  <si>
    <t>Total</t>
  </si>
  <si>
    <t>Claim ID</t>
  </si>
  <si>
    <t>What it's for</t>
  </si>
  <si>
    <t>GST check (15%)</t>
  </si>
  <si>
    <t>Total check</t>
  </si>
  <si>
    <t>Order found</t>
  </si>
  <si>
    <t>BILL-001</t>
  </si>
  <si>
    <t>SF-INV-031</t>
  </si>
  <si>
    <t>00-000-111 (made up)</t>
  </si>
  <si>
    <t>Framing labour, September</t>
  </si>
  <si>
    <t>Paid</t>
  </si>
  <si>
    <t>BILL-002</t>
  </si>
  <si>
    <t>8812</t>
  </si>
  <si>
    <t>Framing timber, second delivery</t>
  </si>
  <si>
    <t>To check</t>
  </si>
  <si>
    <t>PLANT</t>
  </si>
  <si>
    <t>Each machine by its fleet or asset number and registration, own or hired, with the hire order and rate. Type or paste into the white columns; the shaded ones are formulas. Example rows are made up.</t>
  </si>
  <si>
    <t>Machine ID</t>
  </si>
  <si>
    <t>Fleet or asset no.</t>
  </si>
  <si>
    <t>Registration</t>
  </si>
  <si>
    <t>Machine</t>
  </si>
  <si>
    <t>Own or hired</t>
  </si>
  <si>
    <t>Hire company</t>
  </si>
  <si>
    <t>Hire order</t>
  </si>
  <si>
    <t>Rate is</t>
  </si>
  <si>
    <t>Minimum hours a day</t>
  </si>
  <si>
    <t>On site from</t>
  </si>
  <si>
    <t>Off site</t>
  </si>
  <si>
    <t>Hours to date</t>
  </si>
  <si>
    <t>PL-001</t>
  </si>
  <si>
    <t>EX-07</t>
  </si>
  <si>
    <t>20 t excavator</t>
  </si>
  <si>
    <t>Own fleet</t>
  </si>
  <si>
    <t>per hour</t>
  </si>
  <si>
    <t>PL-002</t>
  </si>
  <si>
    <t>RL-12</t>
  </si>
  <si>
    <t>KXR442</t>
  </si>
  <si>
    <t>9 t smooth drum roller</t>
  </si>
  <si>
    <t>Hired</t>
  </si>
  <si>
    <t>Sample Plant Hire</t>
  </si>
  <si>
    <t>PLANT HOURS</t>
  </si>
  <si>
    <t>One line a machine a day: the hour meter at start and finish (the hours are worked out from them), idle hours, the operator, the item and the diary entry. Type or paste into the white columns; the shaded ones are formulas. Example rows are made up.</t>
  </si>
  <si>
    <t>Entry ID</t>
  </si>
  <si>
    <t>Meter start</t>
  </si>
  <si>
    <t>Meter finish</t>
  </si>
  <si>
    <t>Hours entered</t>
  </si>
  <si>
    <t>Idle hours</t>
  </si>
  <si>
    <t>Operator</t>
  </si>
  <si>
    <t>Docket</t>
  </si>
  <si>
    <t>Hours (meter, else entered)</t>
  </si>
  <si>
    <t>Check</t>
  </si>
  <si>
    <t>PH-001</t>
  </si>
  <si>
    <t>Sample operator A</t>
  </si>
  <si>
    <t>PH-002</t>
  </si>
  <si>
    <t>Sample operator B</t>
  </si>
  <si>
    <t>PH-003</t>
  </si>
  <si>
    <t>PH-004</t>
  </si>
  <si>
    <t>PH-005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</si>
</sst>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5" x14ac:knownFonts="1">
    <font>
      <color theme="1"/>
      <family val="2"/>
      <scheme val="minor"/>
      <sz val="11"/>
      <name val="Calibri"/>
    </font>
    <font>
      <b/>
      <sz val="14"/>
    </font>
    <font>
      <i/>
      <color rgb="FF555555"/>
    </font>
    <font>
      <b/>
    </font>
    <font>
      <i/>
    </font>
  </fonts>
  <fills count="4">
    <fill>
      <patternFill patternType="none"/>
    </fill>
    <fill>
      <patternFill patternType="gray125"/>
    </fill>
    <fill>
      <patternFill patternType="solid">
        <fgColor rgb="FFEFEFEF"/>
      </patternFill>
    </fill>
    <fill>
      <patternFill patternType="solid">
        <fgColor rgb="FFF3F3F3"/>
      </patternFill>
    </fill>
  </fills>
  <borders count="2">
    <border>
      <left/>
      <right/>
      <top/>
      <bottom/>
      <diagonal/>
    </border>
    <border>
      <left/>
      <right/>
      <top/>
      <bottom style="thin"/>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4" fontId="0" fillId="0" borderId="0" xfId="0" applyNumberFormat="1"/>
    <xf numFmtId="0" fontId="0" fillId="0" borderId="0" xfId="0" applyAlignment="1">
      <alignment wrapText="1"/>
    </xf>
    <xf numFmtId="0" fontId="4" fillId="0" borderId="0" xfId="0" applyFont="1"/>
    <xf numFmtId="0" fontId="3" fillId="2" borderId="1" xfId="0" applyFont="1" applyFill="1" applyBorder="1"/>
    <xf numFmtId="164" fontId="0" fillId="0" borderId="0" xfId="0" applyNumberFormat="1"/>
    <xf numFmtId="4" fontId="0" fillId="3" borderId="0" xfId="0" applyNumberFormat="1" applyFill="1"/>
    <xf numFmtId="0" fontId="0" fillId="3" borderId="0" xfId="0" applyFill="1"/>
    <xf numFmtId="165" fontId="0" fillId="3" borderId="0" xfId="0" applyNumberFormat="1" applyFill="1"/>
    <xf numFmtId="164"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FormatPr defaultRowHeight="15" outlineLevelRow="0" outlineLevelCol="0" x14ac:dyDescent="55"/>
  <cols>
    <col min="1" max="1" width="54" customWidth="1"/>
    <col min="2" max="2" width="18" customWidth="1"/>
  </cols>
  <sheetData>
    <row r="1" spans="1:1" s="1" customFormat="1" x14ac:dyDescent="0.25">
      <c r="A1" s="1" t="s">
        <v>0</v>
      </c>
    </row>
    <row r="2" spans="1:1" s="2" customFormat="1" x14ac:dyDescent="0.25">
      <c r="A2" s="2" t="s">
        <v>1</v>
      </c>
    </row>
    <row r="4" spans="1:2" s="3" customFormat="1" x14ac:dyDescent="0.25">
      <c r="A4" s="3" t="s">
        <v>2</v>
      </c>
      <c r="B4" s="3" t="s">
        <v>3</v>
      </c>
    </row>
    <row r="5" spans="1:2" x14ac:dyDescent="0.25">
      <c r="A5" t="s">
        <v>4</v>
      </c>
      <c r="B5" s="4">
        <f>SUM('Items'!H:H)</f>
      </c>
    </row>
    <row r="6" spans="1:2" x14ac:dyDescent="0.25">
      <c r="A6" t="s">
        <v>5</v>
      </c>
      <c r="B6" s="4">
        <f>SUM('Items'!K:K)</f>
      </c>
    </row>
    <row r="7" spans="1:2" x14ac:dyDescent="0.25">
      <c r="A7" t="s">
        <v>6</v>
      </c>
      <c r="B7" s="4">
        <f>SUMIFS('Claims'!J:J,'Claims'!B:B,"Sent")</f>
      </c>
    </row>
    <row r="8" spans="1:2" x14ac:dyDescent="0.25">
      <c r="A8" t="s">
        <v>7</v>
      </c>
      <c r="B8" s="4">
        <f>SUMIFS('Claims'!S:S,'Claims'!B:B,"Sent")</f>
      </c>
    </row>
    <row r="9" spans="1:2" x14ac:dyDescent="0.25">
      <c r="A9" t="s">
        <v>8</v>
      </c>
      <c r="B9" s="4">
        <f>SUMIFS('Claims'!T:T,'Claims'!B:B,"Sent")</f>
      </c>
    </row>
    <row r="10" spans="1:2" x14ac:dyDescent="0.25">
      <c r="A10" t="s">
        <v>9</v>
      </c>
      <c r="B10" s="4">
        <f>SUMIFS('Claims'!J:J,'Claims'!B:B,"Received")</f>
      </c>
    </row>
    <row r="11" spans="1:2" x14ac:dyDescent="0.25">
      <c r="A11" t="s">
        <v>10</v>
      </c>
      <c r="B11" s="4">
        <f>SUMIFS('Claims'!S:S,'Claims'!B:B,"Received")</f>
      </c>
    </row>
    <row r="12" spans="1:2" x14ac:dyDescent="0.25">
      <c r="A12" t="s">
        <v>11</v>
      </c>
      <c r="B12" s="4">
        <f>SUMIFS('Claims'!T:T,'Claims'!B:B,"Received")</f>
      </c>
    </row>
    <row r="13" spans="1:2" x14ac:dyDescent="0.25">
      <c r="A13" t="s">
        <v>12</v>
      </c>
      <c r="B13" s="4">
        <f>SUM('Retention'!F:F)-SUM('Retention'!G:G)</f>
      </c>
    </row>
    <row r="14" spans="1:2" x14ac:dyDescent="0.25">
      <c r="A14" t="s">
        <v>13</v>
      </c>
      <c r="B14" s="4">
        <f>SUMIFS('Variations'!I:I,'Variations'!G:G,"Approved")</f>
      </c>
    </row>
    <row r="15" spans="1:2" x14ac:dyDescent="0.25">
      <c r="A15" t="s">
        <v>14</v>
      </c>
      <c r="B15" s="4">
        <f>SUMIFS('Variations'!H:H,'Variations'!G:G,"Pending")+SUMIFS('Variations'!H:H,'Variations'!G:G,"Submitted")</f>
      </c>
    </row>
    <row r="16" spans="1:2" x14ac:dyDescent="0.25">
      <c r="A16" t="s">
        <v>15</v>
      </c>
      <c r="B16">
        <f>COUNTIF('Variations'!R:R,"No notice date")</f>
      </c>
    </row>
    <row r="17" spans="1:2" x14ac:dyDescent="0.25">
      <c r="A17" t="s">
        <v>16</v>
      </c>
      <c r="B17">
        <f>COUNTIF('RFIs'!K:K,"Open")</f>
      </c>
    </row>
    <row r="18" spans="1:2" x14ac:dyDescent="0.25">
      <c r="A18" t="s">
        <v>17</v>
      </c>
      <c r="B18">
        <f>COUNTIF('RFIs'!K:K,"Overdue: unanswered")</f>
      </c>
    </row>
    <row r="19" spans="1:2" x14ac:dyDescent="0.25">
      <c r="A19" t="s">
        <v>18</v>
      </c>
      <c r="B19" s="4">
        <f>SUM('Procurement'!F:F)</f>
      </c>
    </row>
    <row r="20" spans="1:2" x14ac:dyDescent="0.25">
      <c r="A20" t="s">
        <v>19</v>
      </c>
      <c r="B20" s="4">
        <f>SUM('Procurement'!I:I)</f>
      </c>
    </row>
    <row r="21" spans="1:2" x14ac:dyDescent="0.25">
      <c r="A21" t="s">
        <v>20</v>
      </c>
      <c r="B21">
        <f>COUNTIF('Claims'!W:W,"Schedule date passed: none recorded")</f>
      </c>
    </row>
    <row r="22" spans="1:2" x14ac:dyDescent="0.25">
      <c r="A22" t="s">
        <v>21</v>
      </c>
      <c r="B22">
        <f>COUNTIF('Claims'!W:W,"Payment date passed: not paid in full")</f>
      </c>
    </row>
    <row r="23" spans="1:2" x14ac:dyDescent="0.25">
      <c r="A23" t="s">
        <v>22</v>
      </c>
      <c r="B23">
        <f>COUNTIF('Measurement'!L:L,"No diary ID")</f>
      </c>
    </row>
    <row r="24" spans="1:2" x14ac:dyDescent="0.25">
      <c r="A24" t="s">
        <v>23</v>
      </c>
      <c r="B24">
        <f>COUNTIFS('Diary index'!A5:A5000,"?*",'Diary index'!B5:B5000,"&lt;&gt;")</f>
      </c>
    </row>
    <row r="25" spans="1:2" x14ac:dyDescent="0.25">
      <c r="A25" t="s">
        <v>24</v>
      </c>
      <c r="B25">
        <f>COUNTIFS('Transmittals'!A5:A5000,"?*",'Transmittals'!B5:B5000,"&lt;&gt;")</f>
      </c>
    </row>
    <row r="26" spans="1:2" x14ac:dyDescent="0.25">
      <c r="A26" t="s">
        <v>25</v>
      </c>
      <c r="B26" s="4">
        <f>SUM('Budget'!E:E)</f>
      </c>
    </row>
    <row r="27" spans="1:2" x14ac:dyDescent="0.25">
      <c r="A27" t="s">
        <v>26</v>
      </c>
      <c r="B27" s="4">
        <f>SUM('Budget'!K:K)</f>
      </c>
    </row>
    <row r="28" spans="1:2" x14ac:dyDescent="0.25">
      <c r="A28" t="s">
        <v>27</v>
      </c>
      <c r="B28" s="4">
        <f>SUMIFS('Budget'!K:K,'Budget'!D:D,"Contingency")</f>
      </c>
    </row>
    <row r="29" spans="1:2" x14ac:dyDescent="0.25">
      <c r="A29" t="s">
        <v>28</v>
      </c>
      <c r="B29" s="4">
        <f>SUM('Cash flow'!H:H)</f>
      </c>
    </row>
    <row r="30" spans="1:2" x14ac:dyDescent="0.25">
      <c r="A30" t="s">
        <v>29</v>
      </c>
      <c r="B30">
        <f>COUNTIFS('Risks'!S:S,"Extreme",'Risks'!P:P,"&lt;&gt;Closed",'Risks'!P:P,"&lt;&gt;Happened")+COUNTIFS('Risks'!S:S,"High",'Risks'!P:P,"&lt;&gt;Closed",'Risks'!P:P,"&lt;&gt;Happened")</f>
      </c>
    </row>
    <row r="32" spans="1:1" s="5" customFormat="1" x14ac:dyDescent="0.25">
      <c r="A32" s="5" t="s">
        <v>30</v>
      </c>
    </row>
    <row r="33" spans="1:1" s="6" customFormat="1" x14ac:dyDescent="0.25">
      <c r="A33" s="6" t="s">
        <v>31</v>
      </c>
    </row>
    <row r="34" spans="1:1" s="2" customFormat="1" x14ac:dyDescent="0.25">
      <c r="A34"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workbookViewId="0">
      <pane xSplit="1" ySplit="4" topLeftCell="B5" activePane="bottomRight" state="frozen"/>
      <selection pane="bottomRight"/>
    </sheetView>
  </sheetViews>
  <sheetFormatPr defaultRowHeight="15" outlineLevelRow="0" outlineLevelCol="0" x14ac:dyDescent="55"/>
  <cols>
    <col min="1" max="1" width="11" customWidth="1"/>
    <col min="2" max="2" width="13" customWidth="1"/>
    <col min="3" max="3" width="11" customWidth="1"/>
    <col min="4" max="4" width="14" customWidth="1"/>
    <col min="5" max="5" width="11" customWidth="1"/>
    <col min="6" max="6" width="17" customWidth="1"/>
    <col min="7" max="7" width="18" customWidth="1"/>
    <col min="8" max="8" width="16" customWidth="1"/>
    <col min="9" max="9" width="22" customWidth="1"/>
    <col min="10" max="10" width="12" customWidth="1"/>
    <col min="11" max="11" width="15" customWidth="1"/>
    <col min="12" max="12" width="31" customWidth="1"/>
    <col min="13" max="13" width="27" customWidth="1"/>
  </cols>
  <sheetData>
    <row r="1" spans="1:1" s="1" customFormat="1" x14ac:dyDescent="0.25">
      <c r="A1" s="1" t="s">
        <v>33</v>
      </c>
    </row>
    <row r="2" spans="1:1" s="2" customFormat="1" x14ac:dyDescent="0.25">
      <c r="A2" s="2" t="s">
        <v>34</v>
      </c>
    </row>
    <row r="4" spans="1:13" s="3" customFormat="1" x14ac:dyDescent="0.25">
      <c r="A4" s="7" t="s">
        <v>35</v>
      </c>
      <c r="B4" s="7" t="s">
        <v>36</v>
      </c>
      <c r="C4" s="7" t="s">
        <v>37</v>
      </c>
      <c r="D4" s="7" t="s">
        <v>38</v>
      </c>
      <c r="E4" s="7" t="s">
        <v>39</v>
      </c>
      <c r="F4" s="7" t="s">
        <v>40</v>
      </c>
      <c r="G4" s="7" t="s">
        <v>41</v>
      </c>
      <c r="H4" s="7" t="s">
        <v>42</v>
      </c>
      <c r="I4" s="7" t="s">
        <v>43</v>
      </c>
      <c r="J4" s="7" t="s">
        <v>44</v>
      </c>
      <c r="K4" s="7" t="s">
        <v>45</v>
      </c>
      <c r="L4" s="7" t="s">
        <v>46</v>
      </c>
      <c r="M4" s="7" t="s">
        <v>47</v>
      </c>
    </row>
    <row r="5" spans="1:13" x14ac:dyDescent="0.25">
      <c r="A5" t="s">
        <v>48</v>
      </c>
      <c r="B5" t="s">
        <v>49</v>
      </c>
      <c r="C5" t="s">
        <v>50</v>
      </c>
      <c r="D5">
        <v>420</v>
      </c>
      <c r="E5">
        <v>185</v>
      </c>
      <c r="F5" s="8">
        <v>46266</v>
      </c>
      <c r="G5" s="8">
        <v>46295</v>
      </c>
      <c r="H5" s="9">
        <f>IF(A5="","",ROUND(D5*E5,2))</f>
      </c>
      <c r="I5" s="10">
        <f>IF(A5="","",SUMIFS('Measurement'!$D:$D,'Measurement'!$C:$C,A5))</f>
      </c>
      <c r="J5" s="11">
        <f>IF(OR(A5="",N(D5)=0),"",I5/D5)</f>
      </c>
      <c r="K5" s="9">
        <f>IF(A5="","",ROUND(I5*E5,2))</f>
      </c>
      <c r="L5" s="9">
        <f>IF(A5="","",SUMIFS('Claim lines'!$G:$G,'Claim lines'!$B:$B,A5))</f>
      </c>
      <c r="M5" s="9">
        <f>IF(A5="","",K5-L5)</f>
      </c>
    </row>
    <row r="6" spans="1:13" x14ac:dyDescent="0.25">
      <c r="A6" t="s">
        <v>51</v>
      </c>
      <c r="B6" t="s">
        <v>52</v>
      </c>
      <c r="C6" t="s">
        <v>50</v>
      </c>
      <c r="D6">
        <v>860</v>
      </c>
      <c r="E6">
        <v>95</v>
      </c>
      <c r="F6" s="8">
        <v>46296</v>
      </c>
      <c r="G6" s="8">
        <v>46346</v>
      </c>
      <c r="H6" s="9">
        <f>IF(A6="","",ROUND(D6*E6,2))</f>
      </c>
      <c r="I6" s="10">
        <f>IF(A6="","",SUMIFS('Measurement'!$D:$D,'Measurement'!$C:$C,A6))</f>
      </c>
      <c r="J6" s="11">
        <f>IF(OR(A6="",N(D6)=0),"",I6/D6)</f>
      </c>
      <c r="K6" s="9">
        <f>IF(A6="","",ROUND(I6*E6,2))</f>
      </c>
      <c r="L6" s="9">
        <f>IF(A6="","",SUMIFS('Claim lines'!$G:$G,'Claim lines'!$B:$B,A6))</f>
      </c>
      <c r="M6" s="9">
        <f>IF(A6="","",K6-L6)</f>
      </c>
    </row>
    <row r="7" spans="1:13" x14ac:dyDescent="0.25">
      <c r="A7" t="s">
        <v>53</v>
      </c>
      <c r="B7" t="s">
        <v>54</v>
      </c>
      <c r="C7" t="s">
        <v>50</v>
      </c>
      <c r="D7">
        <v>380</v>
      </c>
      <c r="E7">
        <v>120</v>
      </c>
      <c r="F7" s="8">
        <v>46328</v>
      </c>
      <c r="G7" s="8">
        <v>46353</v>
      </c>
      <c r="H7" s="9">
        <f>IF(A7="","",ROUND(D7*E7,2))</f>
      </c>
      <c r="I7" s="10">
        <f>IF(A7="","",SUMIFS('Measurement'!$D:$D,'Measurement'!$C:$C,A7))</f>
      </c>
      <c r="J7" s="11">
        <f>IF(OR(A7="",N(D7)=0),"",I7/D7)</f>
      </c>
      <c r="K7" s="9">
        <f>IF(A7="","",ROUND(I7*E7,2))</f>
      </c>
      <c r="L7" s="9">
        <f>IF(A7="","",SUMIFS('Claim lines'!$G:$G,'Claim lines'!$B:$B,A7))</f>
      </c>
      <c r="M7" s="9">
        <f>IF(A7="","",K7-L7)</f>
      </c>
    </row>
    <row r="8" spans="1:13" x14ac:dyDescent="0.25">
      <c r="A8" t="s">
        <v>55</v>
      </c>
      <c r="B8" t="s">
        <v>56</v>
      </c>
      <c r="C8" t="s">
        <v>57</v>
      </c>
      <c r="D8">
        <v>6</v>
      </c>
      <c r="E8">
        <v>9500</v>
      </c>
      <c r="F8" s="8">
        <v>46314</v>
      </c>
      <c r="G8" s="8">
        <v>46360</v>
      </c>
      <c r="H8" s="9">
        <f>IF(A8="","",ROUND(D8*E8,2))</f>
      </c>
      <c r="I8" s="10">
        <f>IF(A8="","",SUMIFS('Measurement'!$D:$D,'Measurement'!$C:$C,A8))</f>
      </c>
      <c r="J8" s="11">
        <f>IF(OR(A8="",N(D8)=0),"",I8/D8)</f>
      </c>
      <c r="K8" s="9">
        <f>IF(A8="","",ROUND(I8*E8,2))</f>
      </c>
      <c r="L8" s="9">
        <f>IF(A8="","",SUMIFS('Claim lines'!$G:$G,'Claim lines'!$B:$B,A8))</f>
      </c>
      <c r="M8" s="9">
        <f>IF(A8="","",K8-L8)</f>
      </c>
    </row>
    <row r="9" spans="1:13" x14ac:dyDescent="0.25">
      <c r="A9" t="s">
        <v>58</v>
      </c>
      <c r="B9" t="s">
        <v>59</v>
      </c>
      <c r="C9" t="s">
        <v>50</v>
      </c>
      <c r="D9">
        <v>640</v>
      </c>
      <c r="E9">
        <v>140</v>
      </c>
      <c r="F9" s="8">
        <v>46342</v>
      </c>
      <c r="G9" s="8">
        <v>46374</v>
      </c>
      <c r="H9" s="9">
        <f>IF(A9="","",ROUND(D9*E9,2))</f>
      </c>
      <c r="I9" s="10">
        <f>IF(A9="","",SUMIFS('Measurement'!$D:$D,'Measurement'!$C:$C,A9))</f>
      </c>
      <c r="J9" s="11">
        <f>IF(OR(A9="",N(D9)=0),"",I9/D9)</f>
      </c>
      <c r="K9" s="9">
        <f>IF(A9="","",ROUND(I9*E9,2))</f>
      </c>
      <c r="L9" s="9">
        <f>IF(A9="","",SUMIFS('Claim lines'!$G:$G,'Claim lines'!$B:$B,A9))</f>
      </c>
      <c r="M9" s="9">
        <f>IF(A9="","",K9-L9)</f>
      </c>
    </row>
    <row r="10" spans="1:13" x14ac:dyDescent="0.25">
      <c r="H10" s="9">
        <f>IF(A10="","",ROUND(D10*E10,2))</f>
      </c>
      <c r="I10" s="10">
        <f>IF(A10="","",SUMIFS('Measurement'!$D:$D,'Measurement'!$C:$C,A10))</f>
      </c>
      <c r="J10" s="11">
        <f>IF(OR(A10="",N(D10)=0),"",I10/D10)</f>
      </c>
      <c r="K10" s="9">
        <f>IF(A10="","",ROUND(I10*E10,2))</f>
      </c>
      <c r="L10" s="9">
        <f>IF(A10="","",SUMIFS('Claim lines'!$G:$G,'Claim lines'!$B:$B,A10))</f>
      </c>
      <c r="M10" s="9">
        <f>IF(A10="","",K10-L10)</f>
      </c>
    </row>
    <row r="11" spans="1:13" x14ac:dyDescent="0.25">
      <c r="H11" s="9">
        <f>IF(A11="","",ROUND(D11*E11,2))</f>
      </c>
      <c r="I11" s="10">
        <f>IF(A11="","",SUMIFS('Measurement'!$D:$D,'Measurement'!$C:$C,A11))</f>
      </c>
      <c r="J11" s="11">
        <f>IF(OR(A11="",N(D11)=0),"",I11/D11)</f>
      </c>
      <c r="K11" s="9">
        <f>IF(A11="","",ROUND(I11*E11,2))</f>
      </c>
      <c r="L11" s="9">
        <f>IF(A11="","",SUMIFS('Claim lines'!$G:$G,'Claim lines'!$B:$B,A11))</f>
      </c>
      <c r="M11" s="9">
        <f>IF(A11="","",K11-L11)</f>
      </c>
    </row>
    <row r="12" spans="1:13" x14ac:dyDescent="0.25">
      <c r="H12" s="9">
        <f>IF(A12="","",ROUND(D12*E12,2))</f>
      </c>
      <c r="I12" s="10">
        <f>IF(A12="","",SUMIFS('Measurement'!$D:$D,'Measurement'!$C:$C,A12))</f>
      </c>
      <c r="J12" s="11">
        <f>IF(OR(A12="",N(D12)=0),"",I12/D12)</f>
      </c>
      <c r="K12" s="9">
        <f>IF(A12="","",ROUND(I12*E12,2))</f>
      </c>
      <c r="L12" s="9">
        <f>IF(A12="","",SUMIFS('Claim lines'!$G:$G,'Claim lines'!$B:$B,A12))</f>
      </c>
      <c r="M12" s="9">
        <f>IF(A12="","",K12-L12)</f>
      </c>
    </row>
    <row r="13" spans="1:13" x14ac:dyDescent="0.25">
      <c r="H13" s="9">
        <f>IF(A13="","",ROUND(D13*E13,2))</f>
      </c>
      <c r="I13" s="10">
        <f>IF(A13="","",SUMIFS('Measurement'!$D:$D,'Measurement'!$C:$C,A13))</f>
      </c>
      <c r="J13" s="11">
        <f>IF(OR(A13="",N(D13)=0),"",I13/D13)</f>
      </c>
      <c r="K13" s="9">
        <f>IF(A13="","",ROUND(I13*E13,2))</f>
      </c>
      <c r="L13" s="9">
        <f>IF(A13="","",SUMIFS('Claim lines'!$G:$G,'Claim lines'!$B:$B,A13))</f>
      </c>
      <c r="M13" s="9">
        <f>IF(A13="","",K13-L13)</f>
      </c>
    </row>
    <row r="14" spans="1:13" x14ac:dyDescent="0.25">
      <c r="H14" s="9">
        <f>IF(A14="","",ROUND(D14*E14,2))</f>
      </c>
      <c r="I14" s="10">
        <f>IF(A14="","",SUMIFS('Measurement'!$D:$D,'Measurement'!$C:$C,A14))</f>
      </c>
      <c r="J14" s="11">
        <f>IF(OR(A14="",N(D14)=0),"",I14/D14)</f>
      </c>
      <c r="K14" s="9">
        <f>IF(A14="","",ROUND(I14*E14,2))</f>
      </c>
      <c r="L14" s="9">
        <f>IF(A14="","",SUMIFS('Claim lines'!$G:$G,'Claim lines'!$B:$B,A14))</f>
      </c>
      <c r="M14" s="9">
        <f>IF(A14="","",K14-L14)</f>
      </c>
    </row>
    <row r="15" spans="1:13" x14ac:dyDescent="0.25">
      <c r="H15" s="9">
        <f>IF(A15="","",ROUND(D15*E15,2))</f>
      </c>
      <c r="I15" s="10">
        <f>IF(A15="","",SUMIFS('Measurement'!$D:$D,'Measurement'!$C:$C,A15))</f>
      </c>
      <c r="J15" s="11">
        <f>IF(OR(A15="",N(D15)=0),"",I15/D15)</f>
      </c>
      <c r="K15" s="9">
        <f>IF(A15="","",ROUND(I15*E15,2))</f>
      </c>
      <c r="L15" s="9">
        <f>IF(A15="","",SUMIFS('Claim lines'!$G:$G,'Claim lines'!$B:$B,A15))</f>
      </c>
      <c r="M15" s="9">
        <f>IF(A15="","",K15-L15)</f>
      </c>
    </row>
    <row r="16" spans="1:13" x14ac:dyDescent="0.25">
      <c r="H16" s="9">
        <f>IF(A16="","",ROUND(D16*E16,2))</f>
      </c>
      <c r="I16" s="10">
        <f>IF(A16="","",SUMIFS('Measurement'!$D:$D,'Measurement'!$C:$C,A16))</f>
      </c>
      <c r="J16" s="11">
        <f>IF(OR(A16="",N(D16)=0),"",I16/D16)</f>
      </c>
      <c r="K16" s="9">
        <f>IF(A16="","",ROUND(I16*E16,2))</f>
      </c>
      <c r="L16" s="9">
        <f>IF(A16="","",SUMIFS('Claim lines'!$G:$G,'Claim lines'!$B:$B,A16))</f>
      </c>
      <c r="M16" s="9">
        <f>IF(A16="","",K16-L16)</f>
      </c>
    </row>
    <row r="17" spans="1:13" x14ac:dyDescent="0.25">
      <c r="H17" s="9">
        <f>IF(A17="","",ROUND(D17*E17,2))</f>
      </c>
      <c r="I17" s="10">
        <f>IF(A17="","",SUMIFS('Measurement'!$D:$D,'Measurement'!$C:$C,A17))</f>
      </c>
      <c r="J17" s="11">
        <f>IF(OR(A17="",N(D17)=0),"",I17/D17)</f>
      </c>
      <c r="K17" s="9">
        <f>IF(A17="","",ROUND(I17*E17,2))</f>
      </c>
      <c r="L17" s="9">
        <f>IF(A17="","",SUMIFS('Claim lines'!$G:$G,'Claim lines'!$B:$B,A17))</f>
      </c>
      <c r="M17" s="9">
        <f>IF(A17="","",K17-L17)</f>
      </c>
    </row>
    <row r="18" spans="1:13" x14ac:dyDescent="0.25">
      <c r="H18" s="9">
        <f>IF(A18="","",ROUND(D18*E18,2))</f>
      </c>
      <c r="I18" s="10">
        <f>IF(A18="","",SUMIFS('Measurement'!$D:$D,'Measurement'!$C:$C,A18))</f>
      </c>
      <c r="J18" s="11">
        <f>IF(OR(A18="",N(D18)=0),"",I18/D18)</f>
      </c>
      <c r="K18" s="9">
        <f>IF(A18="","",ROUND(I18*E18,2))</f>
      </c>
      <c r="L18" s="9">
        <f>IF(A18="","",SUMIFS('Claim lines'!$G:$G,'Claim lines'!$B:$B,A18))</f>
      </c>
      <c r="M18" s="9">
        <f>IF(A18="","",K18-L18)</f>
      </c>
    </row>
    <row r="19" spans="1:13" x14ac:dyDescent="0.25">
      <c r="H19" s="9">
        <f>IF(A19="","",ROUND(D19*E19,2))</f>
      </c>
      <c r="I19" s="10">
        <f>IF(A19="","",SUMIFS('Measurement'!$D:$D,'Measurement'!$C:$C,A19))</f>
      </c>
      <c r="J19" s="11">
        <f>IF(OR(A19="",N(D19)=0),"",I19/D19)</f>
      </c>
      <c r="K19" s="9">
        <f>IF(A19="","",ROUND(I19*E19,2))</f>
      </c>
      <c r="L19" s="9">
        <f>IF(A19="","",SUMIFS('Claim lines'!$G:$G,'Claim lines'!$B:$B,A19))</f>
      </c>
      <c r="M19" s="9">
        <f>IF(A19="","",K19-L19)</f>
      </c>
    </row>
    <row r="20" spans="1:13" x14ac:dyDescent="0.25">
      <c r="H20" s="9">
        <f>IF(A20="","",ROUND(D20*E20,2))</f>
      </c>
      <c r="I20" s="10">
        <f>IF(A20="","",SUMIFS('Measurement'!$D:$D,'Measurement'!$C:$C,A20))</f>
      </c>
      <c r="J20" s="11">
        <f>IF(OR(A20="",N(D20)=0),"",I20/D20)</f>
      </c>
      <c r="K20" s="9">
        <f>IF(A20="","",ROUND(I20*E20,2))</f>
      </c>
      <c r="L20" s="9">
        <f>IF(A20="","",SUMIFS('Claim lines'!$G:$G,'Claim lines'!$B:$B,A20))</f>
      </c>
      <c r="M20" s="9">
        <f>IF(A20="","",K20-L20)</f>
      </c>
    </row>
    <row r="21" spans="1:13" x14ac:dyDescent="0.25">
      <c r="H21" s="9">
        <f>IF(A21="","",ROUND(D21*E21,2))</f>
      </c>
      <c r="I21" s="10">
        <f>IF(A21="","",SUMIFS('Measurement'!$D:$D,'Measurement'!$C:$C,A21))</f>
      </c>
      <c r="J21" s="11">
        <f>IF(OR(A21="",N(D21)=0),"",I21/D21)</f>
      </c>
      <c r="K21" s="9">
        <f>IF(A21="","",ROUND(I21*E21,2))</f>
      </c>
      <c r="L21" s="9">
        <f>IF(A21="","",SUMIFS('Claim lines'!$G:$G,'Claim lines'!$B:$B,A21))</f>
      </c>
      <c r="M21" s="9">
        <f>IF(A21="","",K21-L21)</f>
      </c>
    </row>
    <row r="22" spans="1:13" x14ac:dyDescent="0.25">
      <c r="H22" s="9">
        <f>IF(A22="","",ROUND(D22*E22,2))</f>
      </c>
      <c r="I22" s="10">
        <f>IF(A22="","",SUMIFS('Measurement'!$D:$D,'Measurement'!$C:$C,A22))</f>
      </c>
      <c r="J22" s="11">
        <f>IF(OR(A22="",N(D22)=0),"",I22/D22)</f>
      </c>
      <c r="K22" s="9">
        <f>IF(A22="","",ROUND(I22*E22,2))</f>
      </c>
      <c r="L22" s="9">
        <f>IF(A22="","",SUMIFS('Claim lines'!$G:$G,'Claim lines'!$B:$B,A22))</f>
      </c>
      <c r="M22" s="9">
        <f>IF(A22="","",K22-L22)</f>
      </c>
    </row>
    <row r="23" spans="1:13" x14ac:dyDescent="0.25">
      <c r="H23" s="9">
        <f>IF(A23="","",ROUND(D23*E23,2))</f>
      </c>
      <c r="I23" s="10">
        <f>IF(A23="","",SUMIFS('Measurement'!$D:$D,'Measurement'!$C:$C,A23))</f>
      </c>
      <c r="J23" s="11">
        <f>IF(OR(A23="",N(D23)=0),"",I23/D23)</f>
      </c>
      <c r="K23" s="9">
        <f>IF(A23="","",ROUND(I23*E23,2))</f>
      </c>
      <c r="L23" s="9">
        <f>IF(A23="","",SUMIFS('Claim lines'!$G:$G,'Claim lines'!$B:$B,A23))</f>
      </c>
      <c r="M23" s="9">
        <f>IF(A23="","",K23-L23)</f>
      </c>
    </row>
    <row r="24" spans="1:13" x14ac:dyDescent="0.25">
      <c r="H24" s="9">
        <f>IF(A24="","",ROUND(D24*E24,2))</f>
      </c>
      <c r="I24" s="10">
        <f>IF(A24="","",SUMIFS('Measurement'!$D:$D,'Measurement'!$C:$C,A24))</f>
      </c>
      <c r="J24" s="11">
        <f>IF(OR(A24="",N(D24)=0),"",I24/D24)</f>
      </c>
      <c r="K24" s="9">
        <f>IF(A24="","",ROUND(I24*E24,2))</f>
      </c>
      <c r="L24" s="9">
        <f>IF(A24="","",SUMIFS('Claim lines'!$G:$G,'Claim lines'!$B:$B,A24))</f>
      </c>
      <c r="M24" s="9">
        <f>IF(A24="","",K24-L24)</f>
      </c>
    </row>
    <row r="25" spans="1:13" x14ac:dyDescent="0.25">
      <c r="H25" s="9">
        <f>IF(A25="","",ROUND(D25*E25,2))</f>
      </c>
      <c r="I25" s="10">
        <f>IF(A25="","",SUMIFS('Measurement'!$D:$D,'Measurement'!$C:$C,A25))</f>
      </c>
      <c r="J25" s="11">
        <f>IF(OR(A25="",N(D25)=0),"",I25/D25)</f>
      </c>
      <c r="K25" s="9">
        <f>IF(A25="","",ROUND(I25*E25,2))</f>
      </c>
      <c r="L25" s="9">
        <f>IF(A25="","",SUMIFS('Claim lines'!$G:$G,'Claim lines'!$B:$B,A25))</f>
      </c>
      <c r="M25" s="9">
        <f>IF(A25="","",K25-L25)</f>
      </c>
    </row>
    <row r="26" spans="1:13" x14ac:dyDescent="0.25">
      <c r="H26" s="9">
        <f>IF(A26="","",ROUND(D26*E26,2))</f>
      </c>
      <c r="I26" s="10">
        <f>IF(A26="","",SUMIFS('Measurement'!$D:$D,'Measurement'!$C:$C,A26))</f>
      </c>
      <c r="J26" s="11">
        <f>IF(OR(A26="",N(D26)=0),"",I26/D26)</f>
      </c>
      <c r="K26" s="9">
        <f>IF(A26="","",ROUND(I26*E26,2))</f>
      </c>
      <c r="L26" s="9">
        <f>IF(A26="","",SUMIFS('Claim lines'!$G:$G,'Claim lines'!$B:$B,A26))</f>
      </c>
      <c r="M26" s="9">
        <f>IF(A26="","",K26-L26)</f>
      </c>
    </row>
    <row r="27" spans="1:13" x14ac:dyDescent="0.25">
      <c r="H27" s="9">
        <f>IF(A27="","",ROUND(D27*E27,2))</f>
      </c>
      <c r="I27" s="10">
        <f>IF(A27="","",SUMIFS('Measurement'!$D:$D,'Measurement'!$C:$C,A27))</f>
      </c>
      <c r="J27" s="11">
        <f>IF(OR(A27="",N(D27)=0),"",I27/D27)</f>
      </c>
      <c r="K27" s="9">
        <f>IF(A27="","",ROUND(I27*E27,2))</f>
      </c>
      <c r="L27" s="9">
        <f>IF(A27="","",SUMIFS('Claim lines'!$G:$G,'Claim lines'!$B:$B,A27))</f>
      </c>
      <c r="M27" s="9">
        <f>IF(A27="","",K27-L27)</f>
      </c>
    </row>
    <row r="28" spans="1:13" x14ac:dyDescent="0.25">
      <c r="H28" s="9">
        <f>IF(A28="","",ROUND(D28*E28,2))</f>
      </c>
      <c r="I28" s="10">
        <f>IF(A28="","",SUMIFS('Measurement'!$D:$D,'Measurement'!$C:$C,A28))</f>
      </c>
      <c r="J28" s="11">
        <f>IF(OR(A28="",N(D28)=0),"",I28/D28)</f>
      </c>
      <c r="K28" s="9">
        <f>IF(A28="","",ROUND(I28*E28,2))</f>
      </c>
      <c r="L28" s="9">
        <f>IF(A28="","",SUMIFS('Claim lines'!$G:$G,'Claim lines'!$B:$B,A28))</f>
      </c>
      <c r="M28" s="9">
        <f>IF(A28="","",K28-L28)</f>
      </c>
    </row>
    <row r="29" spans="1:13" x14ac:dyDescent="0.25">
      <c r="H29" s="9">
        <f>IF(A29="","",ROUND(D29*E29,2))</f>
      </c>
      <c r="I29" s="10">
        <f>IF(A29="","",SUMIFS('Measurement'!$D:$D,'Measurement'!$C:$C,A29))</f>
      </c>
      <c r="J29" s="11">
        <f>IF(OR(A29="",N(D29)=0),"",I29/D29)</f>
      </c>
      <c r="K29" s="9">
        <f>IF(A29="","",ROUND(I29*E29,2))</f>
      </c>
      <c r="L29" s="9">
        <f>IF(A29="","",SUMIFS('Claim lines'!$G:$G,'Claim lines'!$B:$B,A29))</f>
      </c>
      <c r="M29" s="9">
        <f>IF(A29="","",K29-L29)</f>
      </c>
    </row>
    <row r="30" spans="1:13" x14ac:dyDescent="0.25">
      <c r="H30" s="9">
        <f>IF(A30="","",ROUND(D30*E30,2))</f>
      </c>
      <c r="I30" s="10">
        <f>IF(A30="","",SUMIFS('Measurement'!$D:$D,'Measurement'!$C:$C,A30))</f>
      </c>
      <c r="J30" s="11">
        <f>IF(OR(A30="",N(D30)=0),"",I30/D30)</f>
      </c>
      <c r="K30" s="9">
        <f>IF(A30="","",ROUND(I30*E30,2))</f>
      </c>
      <c r="L30" s="9">
        <f>IF(A30="","",SUMIFS('Claim lines'!$G:$G,'Claim lines'!$B:$B,A30))</f>
      </c>
      <c r="M30" s="9">
        <f>IF(A30="","",K30-L30)</f>
      </c>
    </row>
    <row r="31" spans="1:13" x14ac:dyDescent="0.25">
      <c r="H31" s="9">
        <f>IF(A31="","",ROUND(D31*E31,2))</f>
      </c>
      <c r="I31" s="10">
        <f>IF(A31="","",SUMIFS('Measurement'!$D:$D,'Measurement'!$C:$C,A31))</f>
      </c>
      <c r="J31" s="11">
        <f>IF(OR(A31="",N(D31)=0),"",I31/D31)</f>
      </c>
      <c r="K31" s="9">
        <f>IF(A31="","",ROUND(I31*E31,2))</f>
      </c>
      <c r="L31" s="9">
        <f>IF(A31="","",SUMIFS('Claim lines'!$G:$G,'Claim lines'!$B:$B,A31))</f>
      </c>
      <c r="M31" s="9">
        <f>IF(A31="","",K31-L31)</f>
      </c>
    </row>
    <row r="32" spans="1:13" x14ac:dyDescent="0.25">
      <c r="H32" s="9">
        <f>IF(A32="","",ROUND(D32*E32,2))</f>
      </c>
      <c r="I32" s="10">
        <f>IF(A32="","",SUMIFS('Measurement'!$D:$D,'Measurement'!$C:$C,A32))</f>
      </c>
      <c r="J32" s="11">
        <f>IF(OR(A32="",N(D32)=0),"",I32/D32)</f>
      </c>
      <c r="K32" s="9">
        <f>IF(A32="","",ROUND(I32*E32,2))</f>
      </c>
      <c r="L32" s="9">
        <f>IF(A32="","",SUMIFS('Claim lines'!$G:$G,'Claim lines'!$B:$B,A32))</f>
      </c>
      <c r="M32" s="9">
        <f>IF(A32="","",K32-L32)</f>
      </c>
    </row>
    <row r="33" spans="1:13" x14ac:dyDescent="0.25">
      <c r="H33" s="9">
        <f>IF(A33="","",ROUND(D33*E33,2))</f>
      </c>
      <c r="I33" s="10">
        <f>IF(A33="","",SUMIFS('Measurement'!$D:$D,'Measurement'!$C:$C,A33))</f>
      </c>
      <c r="J33" s="11">
        <f>IF(OR(A33="",N(D33)=0),"",I33/D33)</f>
      </c>
      <c r="K33" s="9">
        <f>IF(A33="","",ROUND(I33*E33,2))</f>
      </c>
      <c r="L33" s="9">
        <f>IF(A33="","",SUMIFS('Claim lines'!$G:$G,'Claim lines'!$B:$B,A33))</f>
      </c>
      <c r="M33" s="9">
        <f>IF(A33="","",K33-L33)</f>
      </c>
    </row>
    <row r="34" spans="1:13" x14ac:dyDescent="0.25">
      <c r="H34" s="9">
        <f>IF(A34="","",ROUND(D34*E34,2))</f>
      </c>
      <c r="I34" s="10">
        <f>IF(A34="","",SUMIFS('Measurement'!$D:$D,'Measurement'!$C:$C,A34))</f>
      </c>
      <c r="J34" s="11">
        <f>IF(OR(A34="",N(D34)=0),"",I34/D34)</f>
      </c>
      <c r="K34" s="9">
        <f>IF(A34="","",ROUND(I34*E34,2))</f>
      </c>
      <c r="L34" s="9">
        <f>IF(A34="","",SUMIFS('Claim lines'!$G:$G,'Claim lines'!$B:$B,A34))</f>
      </c>
      <c r="M34" s="9">
        <f>IF(A34="","",K34-L34)</f>
      </c>
    </row>
    <row r="35" spans="1:13" x14ac:dyDescent="0.25">
      <c r="H35" s="9">
        <f>IF(A35="","",ROUND(D35*E35,2))</f>
      </c>
      <c r="I35" s="10">
        <f>IF(A35="","",SUMIFS('Measurement'!$D:$D,'Measurement'!$C:$C,A35))</f>
      </c>
      <c r="J35" s="11">
        <f>IF(OR(A35="",N(D35)=0),"",I35/D35)</f>
      </c>
      <c r="K35" s="9">
        <f>IF(A35="","",ROUND(I35*E35,2))</f>
      </c>
      <c r="L35" s="9">
        <f>IF(A35="","",SUMIFS('Claim lines'!$G:$G,'Claim lines'!$B:$B,A35))</f>
      </c>
      <c r="M35" s="9">
        <f>IF(A35="","",K35-L35)</f>
      </c>
    </row>
    <row r="36" spans="1:13" x14ac:dyDescent="0.25">
      <c r="H36" s="9">
        <f>IF(A36="","",ROUND(D36*E36,2))</f>
      </c>
      <c r="I36" s="10">
        <f>IF(A36="","",SUMIFS('Measurement'!$D:$D,'Measurement'!$C:$C,A36))</f>
      </c>
      <c r="J36" s="11">
        <f>IF(OR(A36="",N(D36)=0),"",I36/D36)</f>
      </c>
      <c r="K36" s="9">
        <f>IF(A36="","",ROUND(I36*E36,2))</f>
      </c>
      <c r="L36" s="9">
        <f>IF(A36="","",SUMIFS('Claim lines'!$G:$G,'Claim lines'!$B:$B,A36))</f>
      </c>
      <c r="M36" s="9">
        <f>IF(A36="","",K36-L36)</f>
      </c>
    </row>
    <row r="37" spans="1:13" x14ac:dyDescent="0.25">
      <c r="H37" s="9">
        <f>IF(A37="","",ROUND(D37*E37,2))</f>
      </c>
      <c r="I37" s="10">
        <f>IF(A37="","",SUMIFS('Measurement'!$D:$D,'Measurement'!$C:$C,A37))</f>
      </c>
      <c r="J37" s="11">
        <f>IF(OR(A37="",N(D37)=0),"",I37/D37)</f>
      </c>
      <c r="K37" s="9">
        <f>IF(A37="","",ROUND(I37*E37,2))</f>
      </c>
      <c r="L37" s="9">
        <f>IF(A37="","",SUMIFS('Claim lines'!$G:$G,'Claim lines'!$B:$B,A37))</f>
      </c>
      <c r="M37" s="9">
        <f>IF(A37="","",K37-L37)</f>
      </c>
    </row>
    <row r="38" spans="1:13" x14ac:dyDescent="0.25">
      <c r="H38" s="9">
        <f>IF(A38="","",ROUND(D38*E38,2))</f>
      </c>
      <c r="I38" s="10">
        <f>IF(A38="","",SUMIFS('Measurement'!$D:$D,'Measurement'!$C:$C,A38))</f>
      </c>
      <c r="J38" s="11">
        <f>IF(OR(A38="",N(D38)=0),"",I38/D38)</f>
      </c>
      <c r="K38" s="9">
        <f>IF(A38="","",ROUND(I38*E38,2))</f>
      </c>
      <c r="L38" s="9">
        <f>IF(A38="","",SUMIFS('Claim lines'!$G:$G,'Claim lines'!$B:$B,A38))</f>
      </c>
      <c r="M38" s="9">
        <f>IF(A38="","",K38-L38)</f>
      </c>
    </row>
    <row r="39" spans="1:13" x14ac:dyDescent="0.25">
      <c r="H39" s="9">
        <f>IF(A39="","",ROUND(D39*E39,2))</f>
      </c>
      <c r="I39" s="10">
        <f>IF(A39="","",SUMIFS('Measurement'!$D:$D,'Measurement'!$C:$C,A39))</f>
      </c>
      <c r="J39" s="11">
        <f>IF(OR(A39="",N(D39)=0),"",I39/D39)</f>
      </c>
      <c r="K39" s="9">
        <f>IF(A39="","",ROUND(I39*E39,2))</f>
      </c>
      <c r="L39" s="9">
        <f>IF(A39="","",SUMIFS('Claim lines'!$G:$G,'Claim lines'!$B:$B,A39))</f>
      </c>
      <c r="M39" s="9">
        <f>IF(A39="","",K39-L39)</f>
      </c>
    </row>
    <row r="40" spans="1:13" x14ac:dyDescent="0.25">
      <c r="H40" s="9">
        <f>IF(A40="","",ROUND(D40*E40,2))</f>
      </c>
      <c r="I40" s="10">
        <f>IF(A40="","",SUMIFS('Measurement'!$D:$D,'Measurement'!$C:$C,A40))</f>
      </c>
      <c r="J40" s="11">
        <f>IF(OR(A40="",N(D40)=0),"",I40/D40)</f>
      </c>
      <c r="K40" s="9">
        <f>IF(A40="","",ROUND(I40*E40,2))</f>
      </c>
      <c r="L40" s="9">
        <f>IF(A40="","",SUMIFS('Claim lines'!$G:$G,'Claim lines'!$B:$B,A40))</f>
      </c>
      <c r="M40" s="9">
        <f>IF(A40="","",K40-L40)</f>
      </c>
    </row>
    <row r="41" spans="1:13" x14ac:dyDescent="0.25">
      <c r="H41" s="9">
        <f>IF(A41="","",ROUND(D41*E41,2))</f>
      </c>
      <c r="I41" s="10">
        <f>IF(A41="","",SUMIFS('Measurement'!$D:$D,'Measurement'!$C:$C,A41))</f>
      </c>
      <c r="J41" s="11">
        <f>IF(OR(A41="",N(D41)=0),"",I41/D41)</f>
      </c>
      <c r="K41" s="9">
        <f>IF(A41="","",ROUND(I41*E41,2))</f>
      </c>
      <c r="L41" s="9">
        <f>IF(A41="","",SUMIFS('Claim lines'!$G:$G,'Claim lines'!$B:$B,A41))</f>
      </c>
      <c r="M41" s="9">
        <f>IF(A41="","",K41-L41)</f>
      </c>
    </row>
    <row r="42" spans="1:13" x14ac:dyDescent="0.25">
      <c r="H42" s="9">
        <f>IF(A42="","",ROUND(D42*E42,2))</f>
      </c>
      <c r="I42" s="10">
        <f>IF(A42="","",SUMIFS('Measurement'!$D:$D,'Measurement'!$C:$C,A42))</f>
      </c>
      <c r="J42" s="11">
        <f>IF(OR(A42="",N(D42)=0),"",I42/D42)</f>
      </c>
      <c r="K42" s="9">
        <f>IF(A42="","",ROUND(I42*E42,2))</f>
      </c>
      <c r="L42" s="9">
        <f>IF(A42="","",SUMIFS('Claim lines'!$G:$G,'Claim lines'!$B:$B,A42))</f>
      </c>
      <c r="M42" s="9">
        <f>IF(A42="","",K42-L42)</f>
      </c>
    </row>
    <row r="43" spans="1:13" x14ac:dyDescent="0.25">
      <c r="H43" s="9">
        <f>IF(A43="","",ROUND(D43*E43,2))</f>
      </c>
      <c r="I43" s="10">
        <f>IF(A43="","",SUMIFS('Measurement'!$D:$D,'Measurement'!$C:$C,A43))</f>
      </c>
      <c r="J43" s="11">
        <f>IF(OR(A43="",N(D43)=0),"",I43/D43)</f>
      </c>
      <c r="K43" s="9">
        <f>IF(A43="","",ROUND(I43*E43,2))</f>
      </c>
      <c r="L43" s="9">
        <f>IF(A43="","",SUMIFS('Claim lines'!$G:$G,'Claim lines'!$B:$B,A43))</f>
      </c>
      <c r="M43" s="9">
        <f>IF(A43="","",K43-L43)</f>
      </c>
    </row>
    <row r="44" spans="1:13" x14ac:dyDescent="0.25">
      <c r="H44" s="9">
        <f>IF(A44="","",ROUND(D44*E44,2))</f>
      </c>
      <c r="I44" s="10">
        <f>IF(A44="","",SUMIFS('Measurement'!$D:$D,'Measurement'!$C:$C,A44))</f>
      </c>
      <c r="J44" s="11">
        <f>IF(OR(A44="",N(D44)=0),"",I44/D44)</f>
      </c>
      <c r="K44" s="9">
        <f>IF(A44="","",ROUND(I44*E44,2))</f>
      </c>
      <c r="L44" s="9">
        <f>IF(A44="","",SUMIFS('Claim lines'!$G:$G,'Claim lines'!$B:$B,A44))</f>
      </c>
      <c r="M44" s="9">
        <f>IF(A44="","",K44-L44)</f>
      </c>
    </row>
    <row r="45" spans="1:13" x14ac:dyDescent="0.25">
      <c r="H45" s="9">
        <f>IF(A45="","",ROUND(D45*E45,2))</f>
      </c>
      <c r="I45" s="10">
        <f>IF(A45="","",SUMIFS('Measurement'!$D:$D,'Measurement'!$C:$C,A45))</f>
      </c>
      <c r="J45" s="11">
        <f>IF(OR(A45="",N(D45)=0),"",I45/D45)</f>
      </c>
      <c r="K45" s="9">
        <f>IF(A45="","",ROUND(I45*E45,2))</f>
      </c>
      <c r="L45" s="9">
        <f>IF(A45="","",SUMIFS('Claim lines'!$G:$G,'Claim lines'!$B:$B,A45))</f>
      </c>
      <c r="M45" s="9">
        <f>IF(A45="","",K45-L45)</f>
      </c>
    </row>
    <row r="46" spans="1:13" x14ac:dyDescent="0.25">
      <c r="H46" s="9">
        <f>IF(A46="","",ROUND(D46*E46,2))</f>
      </c>
      <c r="I46" s="10">
        <f>IF(A46="","",SUMIFS('Measurement'!$D:$D,'Measurement'!$C:$C,A46))</f>
      </c>
      <c r="J46" s="11">
        <f>IF(OR(A46="",N(D46)=0),"",I46/D46)</f>
      </c>
      <c r="K46" s="9">
        <f>IF(A46="","",ROUND(I46*E46,2))</f>
      </c>
      <c r="L46" s="9">
        <f>IF(A46="","",SUMIFS('Claim lines'!$G:$G,'Claim lines'!$B:$B,A46))</f>
      </c>
      <c r="M46" s="9">
        <f>IF(A46="","",K46-L46)</f>
      </c>
    </row>
    <row r="47" spans="1:13" x14ac:dyDescent="0.25">
      <c r="H47" s="9">
        <f>IF(A47="","",ROUND(D47*E47,2))</f>
      </c>
      <c r="I47" s="10">
        <f>IF(A47="","",SUMIFS('Measurement'!$D:$D,'Measurement'!$C:$C,A47))</f>
      </c>
      <c r="J47" s="11">
        <f>IF(OR(A47="",N(D47)=0),"",I47/D47)</f>
      </c>
      <c r="K47" s="9">
        <f>IF(A47="","",ROUND(I47*E47,2))</f>
      </c>
      <c r="L47" s="9">
        <f>IF(A47="","",SUMIFS('Claim lines'!$G:$G,'Claim lines'!$B:$B,A47))</f>
      </c>
      <c r="M47" s="9">
        <f>IF(A47="","",K47-L47)</f>
      </c>
    </row>
    <row r="48" spans="1:13" x14ac:dyDescent="0.25">
      <c r="H48" s="9">
        <f>IF(A48="","",ROUND(D48*E48,2))</f>
      </c>
      <c r="I48" s="10">
        <f>IF(A48="","",SUMIFS('Measurement'!$D:$D,'Measurement'!$C:$C,A48))</f>
      </c>
      <c r="J48" s="11">
        <f>IF(OR(A48="",N(D48)=0),"",I48/D48)</f>
      </c>
      <c r="K48" s="9">
        <f>IF(A48="","",ROUND(I48*E48,2))</f>
      </c>
      <c r="L48" s="9">
        <f>IF(A48="","",SUMIFS('Claim lines'!$G:$G,'Claim lines'!$B:$B,A48))</f>
      </c>
      <c r="M48" s="9">
        <f>IF(A48="","",K48-L48)</f>
      </c>
    </row>
    <row r="49" spans="1:13" x14ac:dyDescent="0.25">
      <c r="H49" s="9">
        <f>IF(A49="","",ROUND(D49*E49,2))</f>
      </c>
      <c r="I49" s="10">
        <f>IF(A49="","",SUMIFS('Measurement'!$D:$D,'Measurement'!$C:$C,A49))</f>
      </c>
      <c r="J49" s="11">
        <f>IF(OR(A49="",N(D49)=0),"",I49/D49)</f>
      </c>
      <c r="K49" s="9">
        <f>IF(A49="","",ROUND(I49*E49,2))</f>
      </c>
      <c r="L49" s="9">
        <f>IF(A49="","",SUMIFS('Claim lines'!$G:$G,'Claim lines'!$B:$B,A49))</f>
      </c>
      <c r="M49" s="9">
        <f>IF(A49="","",K49-L49)</f>
      </c>
    </row>
    <row r="51" spans="1:1" s="2" customFormat="1" x14ac:dyDescent="0.25">
      <c r="A51" s="2" t="s">
        <v>32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workbookViewId="0">
      <pane xSplit="1" ySplit="4" topLeftCell="B5" activePane="bottomRight" state="frozen"/>
      <selection pane="bottomRight"/>
    </sheetView>
  </sheetViews>
  <sheetFormatPr defaultRowHeight="15" outlineLevelRow="0" outlineLevelCol="0" x14ac:dyDescent="55"/>
  <cols>
    <col min="1" max="1" width="16" customWidth="1"/>
    <col min="2" max="3" width="11" customWidth="1"/>
    <col min="4" max="4" width="14" customWidth="1"/>
    <col min="5" max="5" width="18" customWidth="1"/>
    <col min="6" max="6" width="11" customWidth="1"/>
    <col min="7" max="7" width="12" customWidth="1"/>
    <col min="8" max="8" width="13" customWidth="1"/>
    <col min="9" max="9" width="11" customWidth="1"/>
    <col min="10" max="10" width="19" customWidth="1"/>
    <col min="11" max="11" width="16" customWidth="1"/>
    <col min="12" max="12" width="19" customWidth="1"/>
  </cols>
  <sheetData>
    <row r="1" spans="1:1" s="1" customFormat="1" x14ac:dyDescent="0.25">
      <c r="A1" s="1" t="s">
        <v>60</v>
      </c>
    </row>
    <row r="2" spans="1:1" s="2" customFormat="1" x14ac:dyDescent="0.25">
      <c r="A2" s="2" t="s">
        <v>61</v>
      </c>
    </row>
    <row r="4" spans="1:12" s="3" customFormat="1" x14ac:dyDescent="0.25">
      <c r="A4" s="7" t="s">
        <v>62</v>
      </c>
      <c r="B4" s="7" t="s">
        <v>63</v>
      </c>
      <c r="C4" s="7" t="s">
        <v>35</v>
      </c>
      <c r="D4" s="7" t="s">
        <v>64</v>
      </c>
      <c r="E4" s="7" t="s">
        <v>65</v>
      </c>
      <c r="F4" s="7" t="s">
        <v>66</v>
      </c>
      <c r="G4" s="7" t="s">
        <v>67</v>
      </c>
      <c r="H4" s="7" t="s">
        <v>68</v>
      </c>
      <c r="I4" s="7" t="s">
        <v>69</v>
      </c>
      <c r="J4" s="7" t="s">
        <v>70</v>
      </c>
      <c r="K4" s="7" t="s">
        <v>71</v>
      </c>
      <c r="L4" s="7" t="s">
        <v>72</v>
      </c>
    </row>
    <row r="5" spans="1:12" x14ac:dyDescent="0.25">
      <c r="A5" t="s">
        <v>73</v>
      </c>
      <c r="B5" s="8">
        <v>46290</v>
      </c>
      <c r="C5" t="s">
        <v>48</v>
      </c>
      <c r="D5">
        <v>420</v>
      </c>
      <c r="E5" t="s">
        <v>74</v>
      </c>
      <c r="F5" t="s">
        <v>75</v>
      </c>
      <c r="G5" t="s">
        <v>76</v>
      </c>
      <c r="H5" t="s">
        <v>77</v>
      </c>
      <c r="J5" s="9">
        <f>IF(A5="","",IFERROR(INDEX('Items'!$E:$E,MATCH(C5,'Items'!$A:$A,0)),"Item not found"))</f>
      </c>
      <c r="K5" s="9">
        <f>IF(OR(A5="",NOT(ISNUMBER(J5))),"",ROUND(D5*J5,2))</f>
      </c>
      <c r="L5" s="10">
        <f>IF(A5="","",IF(F5="","No diary ID",IF(COUNTIF('Diary index'!$A:$A,F5)&gt;0,"Yes","Not in the diary index")))</f>
      </c>
    </row>
    <row r="6" spans="1:12" x14ac:dyDescent="0.25">
      <c r="A6" t="s">
        <v>78</v>
      </c>
      <c r="B6" s="8">
        <v>46311</v>
      </c>
      <c r="C6" t="s">
        <v>51</v>
      </c>
      <c r="D6">
        <v>300</v>
      </c>
      <c r="E6" t="s">
        <v>79</v>
      </c>
      <c r="F6" t="s">
        <v>80</v>
      </c>
      <c r="G6" t="s">
        <v>81</v>
      </c>
      <c r="H6" t="s">
        <v>77</v>
      </c>
      <c r="J6" s="9">
        <f>IF(A6="","",IFERROR(INDEX('Items'!$E:$E,MATCH(C6,'Items'!$A:$A,0)),"Item not found"))</f>
      </c>
      <c r="K6" s="9">
        <f>IF(OR(A6="",NOT(ISNUMBER(J6))),"",ROUND(D6*J6,2))</f>
      </c>
      <c r="L6" s="10">
        <f>IF(A6="","",IF(F6="","No diary ID",IF(COUNTIF('Diary index'!$A:$A,F6)&gt;0,"Yes","Not in the diary index")))</f>
      </c>
    </row>
    <row r="7" spans="1:12" x14ac:dyDescent="0.25">
      <c r="A7" t="s">
        <v>82</v>
      </c>
      <c r="B7" s="8">
        <v>46325</v>
      </c>
      <c r="C7" t="s">
        <v>51</v>
      </c>
      <c r="D7">
        <v>216</v>
      </c>
      <c r="E7" t="s">
        <v>83</v>
      </c>
      <c r="F7" t="s">
        <v>84</v>
      </c>
      <c r="G7" t="s">
        <v>85</v>
      </c>
      <c r="H7" t="s">
        <v>77</v>
      </c>
      <c r="J7" s="9">
        <f>IF(A7="","",IFERROR(INDEX('Items'!$E:$E,MATCH(C7,'Items'!$A:$A,0)),"Item not found"))</f>
      </c>
      <c r="K7" s="9">
        <f>IF(OR(A7="",NOT(ISNUMBER(J7))),"",ROUND(D7*J7,2))</f>
      </c>
      <c r="L7" s="10">
        <f>IF(A7="","",IF(F7="","No diary ID",IF(COUNTIF('Diary index'!$A:$A,F7)&gt;0,"Yes","Not in the diary index")))</f>
      </c>
    </row>
    <row r="8" spans="1:12" x14ac:dyDescent="0.25">
      <c r="A8" t="s">
        <v>86</v>
      </c>
      <c r="B8" s="8">
        <v>46325</v>
      </c>
      <c r="C8" t="s">
        <v>55</v>
      </c>
      <c r="D8">
        <v>2</v>
      </c>
      <c r="E8" t="s">
        <v>87</v>
      </c>
      <c r="F8" t="s">
        <v>84</v>
      </c>
      <c r="G8" t="s">
        <v>88</v>
      </c>
      <c r="H8" t="s">
        <v>77</v>
      </c>
      <c r="J8" s="9">
        <f>IF(A8="","",IFERROR(INDEX('Items'!$E:$E,MATCH(C8,'Items'!$A:$A,0)),"Item not found"))</f>
      </c>
      <c r="K8" s="9">
        <f>IF(OR(A8="",NOT(ISNUMBER(J8))),"",ROUND(D8*J8,2))</f>
      </c>
      <c r="L8" s="10">
        <f>IF(A8="","",IF(F8="","No diary ID",IF(COUNTIF('Diary index'!$A:$A,F8)&gt;0,"Yes","Not in the diary index")))</f>
      </c>
    </row>
    <row r="9" spans="1:12" x14ac:dyDescent="0.25">
      <c r="A9" t="s">
        <v>89</v>
      </c>
      <c r="B9" s="8">
        <v>46330</v>
      </c>
      <c r="C9" t="s">
        <v>51</v>
      </c>
      <c r="D9">
        <v>120</v>
      </c>
      <c r="E9" t="s">
        <v>90</v>
      </c>
      <c r="F9" t="s">
        <v>91</v>
      </c>
      <c r="G9" t="s">
        <v>92</v>
      </c>
      <c r="H9" t="s">
        <v>77</v>
      </c>
      <c r="J9" s="9">
        <f>IF(A9="","",IFERROR(INDEX('Items'!$E:$E,MATCH(C9,'Items'!$A:$A,0)),"Item not found"))</f>
      </c>
      <c r="K9" s="9">
        <f>IF(OR(A9="",NOT(ISNUMBER(J9))),"",ROUND(D9*J9,2))</f>
      </c>
      <c r="L9" s="10">
        <f>IF(A9="","",IF(F9="","No diary ID",IF(COUNTIF('Diary index'!$A:$A,F9)&gt;0,"Yes","Not in the diary index")))</f>
      </c>
    </row>
    <row r="10" spans="1:12" x14ac:dyDescent="0.25">
      <c r="A10" t="s">
        <v>93</v>
      </c>
      <c r="B10" s="8">
        <v>46331</v>
      </c>
      <c r="C10" t="s">
        <v>53</v>
      </c>
      <c r="D10">
        <v>95</v>
      </c>
      <c r="E10" t="s">
        <v>83</v>
      </c>
      <c r="H10" t="s">
        <v>77</v>
      </c>
      <c r="J10" s="9">
        <f>IF(A10="","",IFERROR(INDEX('Items'!$E:$E,MATCH(C10,'Items'!$A:$A,0)),"Item not found"))</f>
      </c>
      <c r="K10" s="9">
        <f>IF(OR(A10="",NOT(ISNUMBER(J10))),"",ROUND(D10*J10,2))</f>
      </c>
      <c r="L10" s="10">
        <f>IF(A10="","",IF(F10="","No diary ID",IF(COUNTIF('Diary index'!$A:$A,F10)&gt;0,"Yes","Not in the diary index")))</f>
      </c>
    </row>
    <row r="11" spans="1:12" x14ac:dyDescent="0.25">
      <c r="J11" s="9">
        <f>IF(A11="","",IFERROR(INDEX('Items'!$E:$E,MATCH(C11,'Items'!$A:$A,0)),"Item not found"))</f>
      </c>
      <c r="K11" s="9">
        <f>IF(OR(A11="",NOT(ISNUMBER(J11))),"",ROUND(D11*J11,2))</f>
      </c>
      <c r="L11" s="10">
        <f>IF(A11="","",IF(F11="","No diary ID",IF(COUNTIF('Diary index'!$A:$A,F11)&gt;0,"Yes","Not in the diary index")))</f>
      </c>
    </row>
    <row r="12" spans="1:12" x14ac:dyDescent="0.25">
      <c r="J12" s="9">
        <f>IF(A12="","",IFERROR(INDEX('Items'!$E:$E,MATCH(C12,'Items'!$A:$A,0)),"Item not found"))</f>
      </c>
      <c r="K12" s="9">
        <f>IF(OR(A12="",NOT(ISNUMBER(J12))),"",ROUND(D12*J12,2))</f>
      </c>
      <c r="L12" s="10">
        <f>IF(A12="","",IF(F12="","No diary ID",IF(COUNTIF('Diary index'!$A:$A,F12)&gt;0,"Yes","Not in the diary index")))</f>
      </c>
    </row>
    <row r="13" spans="1:12" x14ac:dyDescent="0.25">
      <c r="J13" s="9">
        <f>IF(A13="","",IFERROR(INDEX('Items'!$E:$E,MATCH(C13,'Items'!$A:$A,0)),"Item not found"))</f>
      </c>
      <c r="K13" s="9">
        <f>IF(OR(A13="",NOT(ISNUMBER(J13))),"",ROUND(D13*J13,2))</f>
      </c>
      <c r="L13" s="10">
        <f>IF(A13="","",IF(F13="","No diary ID",IF(COUNTIF('Diary index'!$A:$A,F13)&gt;0,"Yes","Not in the diary index")))</f>
      </c>
    </row>
    <row r="14" spans="1:12" x14ac:dyDescent="0.25">
      <c r="J14" s="9">
        <f>IF(A14="","",IFERROR(INDEX('Items'!$E:$E,MATCH(C14,'Items'!$A:$A,0)),"Item not found"))</f>
      </c>
      <c r="K14" s="9">
        <f>IF(OR(A14="",NOT(ISNUMBER(J14))),"",ROUND(D14*J14,2))</f>
      </c>
      <c r="L14" s="10">
        <f>IF(A14="","",IF(F14="","No diary ID",IF(COUNTIF('Diary index'!$A:$A,F14)&gt;0,"Yes","Not in the diary index")))</f>
      </c>
    </row>
    <row r="15" spans="1:12" x14ac:dyDescent="0.25">
      <c r="J15" s="9">
        <f>IF(A15="","",IFERROR(INDEX('Items'!$E:$E,MATCH(C15,'Items'!$A:$A,0)),"Item not found"))</f>
      </c>
      <c r="K15" s="9">
        <f>IF(OR(A15="",NOT(ISNUMBER(J15))),"",ROUND(D15*J15,2))</f>
      </c>
      <c r="L15" s="10">
        <f>IF(A15="","",IF(F15="","No diary ID",IF(COUNTIF('Diary index'!$A:$A,F15)&gt;0,"Yes","Not in the diary index")))</f>
      </c>
    </row>
    <row r="16" spans="1:12" x14ac:dyDescent="0.25">
      <c r="J16" s="9">
        <f>IF(A16="","",IFERROR(INDEX('Items'!$E:$E,MATCH(C16,'Items'!$A:$A,0)),"Item not found"))</f>
      </c>
      <c r="K16" s="9">
        <f>IF(OR(A16="",NOT(ISNUMBER(J16))),"",ROUND(D16*J16,2))</f>
      </c>
      <c r="L16" s="10">
        <f>IF(A16="","",IF(F16="","No diary ID",IF(COUNTIF('Diary index'!$A:$A,F16)&gt;0,"Yes","Not in the diary index")))</f>
      </c>
    </row>
    <row r="17" spans="1:12" x14ac:dyDescent="0.25">
      <c r="J17" s="9">
        <f>IF(A17="","",IFERROR(INDEX('Items'!$E:$E,MATCH(C17,'Items'!$A:$A,0)),"Item not found"))</f>
      </c>
      <c r="K17" s="9">
        <f>IF(OR(A17="",NOT(ISNUMBER(J17))),"",ROUND(D17*J17,2))</f>
      </c>
      <c r="L17" s="10">
        <f>IF(A17="","",IF(F17="","No diary ID",IF(COUNTIF('Diary index'!$A:$A,F17)&gt;0,"Yes","Not in the diary index")))</f>
      </c>
    </row>
    <row r="18" spans="1:12" x14ac:dyDescent="0.25">
      <c r="J18" s="9">
        <f>IF(A18="","",IFERROR(INDEX('Items'!$E:$E,MATCH(C18,'Items'!$A:$A,0)),"Item not found"))</f>
      </c>
      <c r="K18" s="9">
        <f>IF(OR(A18="",NOT(ISNUMBER(J18))),"",ROUND(D18*J18,2))</f>
      </c>
      <c r="L18" s="10">
        <f>IF(A18="","",IF(F18="","No diary ID",IF(COUNTIF('Diary index'!$A:$A,F18)&gt;0,"Yes","Not in the diary index")))</f>
      </c>
    </row>
    <row r="19" spans="1:12" x14ac:dyDescent="0.25">
      <c r="J19" s="9">
        <f>IF(A19="","",IFERROR(INDEX('Items'!$E:$E,MATCH(C19,'Items'!$A:$A,0)),"Item not found"))</f>
      </c>
      <c r="K19" s="9">
        <f>IF(OR(A19="",NOT(ISNUMBER(J19))),"",ROUND(D19*J19,2))</f>
      </c>
      <c r="L19" s="10">
        <f>IF(A19="","",IF(F19="","No diary ID",IF(COUNTIF('Diary index'!$A:$A,F19)&gt;0,"Yes","Not in the diary index")))</f>
      </c>
    </row>
    <row r="20" spans="1:12" x14ac:dyDescent="0.25">
      <c r="J20" s="9">
        <f>IF(A20="","",IFERROR(INDEX('Items'!$E:$E,MATCH(C20,'Items'!$A:$A,0)),"Item not found"))</f>
      </c>
      <c r="K20" s="9">
        <f>IF(OR(A20="",NOT(ISNUMBER(J20))),"",ROUND(D20*J20,2))</f>
      </c>
      <c r="L20" s="10">
        <f>IF(A20="","",IF(F20="","No diary ID",IF(COUNTIF('Diary index'!$A:$A,F20)&gt;0,"Yes","Not in the diary index")))</f>
      </c>
    </row>
    <row r="21" spans="1:12" x14ac:dyDescent="0.25">
      <c r="J21" s="9">
        <f>IF(A21="","",IFERROR(INDEX('Items'!$E:$E,MATCH(C21,'Items'!$A:$A,0)),"Item not found"))</f>
      </c>
      <c r="K21" s="9">
        <f>IF(OR(A21="",NOT(ISNUMBER(J21))),"",ROUND(D21*J21,2))</f>
      </c>
      <c r="L21" s="10">
        <f>IF(A21="","",IF(F21="","No diary ID",IF(COUNTIF('Diary index'!$A:$A,F21)&gt;0,"Yes","Not in the diary index")))</f>
      </c>
    </row>
    <row r="22" spans="1:12" x14ac:dyDescent="0.25">
      <c r="J22" s="9">
        <f>IF(A22="","",IFERROR(INDEX('Items'!$E:$E,MATCH(C22,'Items'!$A:$A,0)),"Item not found"))</f>
      </c>
      <c r="K22" s="9">
        <f>IF(OR(A22="",NOT(ISNUMBER(J22))),"",ROUND(D22*J22,2))</f>
      </c>
      <c r="L22" s="10">
        <f>IF(A22="","",IF(F22="","No diary ID",IF(COUNTIF('Diary index'!$A:$A,F22)&gt;0,"Yes","Not in the diary index")))</f>
      </c>
    </row>
    <row r="23" spans="1:12" x14ac:dyDescent="0.25">
      <c r="J23" s="9">
        <f>IF(A23="","",IFERROR(INDEX('Items'!$E:$E,MATCH(C23,'Items'!$A:$A,0)),"Item not found"))</f>
      </c>
      <c r="K23" s="9">
        <f>IF(OR(A23="",NOT(ISNUMBER(J23))),"",ROUND(D23*J23,2))</f>
      </c>
      <c r="L23" s="10">
        <f>IF(A23="","",IF(F23="","No diary ID",IF(COUNTIF('Diary index'!$A:$A,F23)&gt;0,"Yes","Not in the diary index")))</f>
      </c>
    </row>
    <row r="24" spans="1:12" x14ac:dyDescent="0.25">
      <c r="J24" s="9">
        <f>IF(A24="","",IFERROR(INDEX('Items'!$E:$E,MATCH(C24,'Items'!$A:$A,0)),"Item not found"))</f>
      </c>
      <c r="K24" s="9">
        <f>IF(OR(A24="",NOT(ISNUMBER(J24))),"",ROUND(D24*J24,2))</f>
      </c>
      <c r="L24" s="10">
        <f>IF(A24="","",IF(F24="","No diary ID",IF(COUNTIF('Diary index'!$A:$A,F24)&gt;0,"Yes","Not in the diary index")))</f>
      </c>
    </row>
    <row r="25" spans="1:12" x14ac:dyDescent="0.25">
      <c r="J25" s="9">
        <f>IF(A25="","",IFERROR(INDEX('Items'!$E:$E,MATCH(C25,'Items'!$A:$A,0)),"Item not found"))</f>
      </c>
      <c r="K25" s="9">
        <f>IF(OR(A25="",NOT(ISNUMBER(J25))),"",ROUND(D25*J25,2))</f>
      </c>
      <c r="L25" s="10">
        <f>IF(A25="","",IF(F25="","No diary ID",IF(COUNTIF('Diary index'!$A:$A,F25)&gt;0,"Yes","Not in the diary index")))</f>
      </c>
    </row>
    <row r="26" spans="1:12" x14ac:dyDescent="0.25">
      <c r="J26" s="9">
        <f>IF(A26="","",IFERROR(INDEX('Items'!$E:$E,MATCH(C26,'Items'!$A:$A,0)),"Item not found"))</f>
      </c>
      <c r="K26" s="9">
        <f>IF(OR(A26="",NOT(ISNUMBER(J26))),"",ROUND(D26*J26,2))</f>
      </c>
      <c r="L26" s="10">
        <f>IF(A26="","",IF(F26="","No diary ID",IF(COUNTIF('Diary index'!$A:$A,F26)&gt;0,"Yes","Not in the diary index")))</f>
      </c>
    </row>
    <row r="27" spans="1:12" x14ac:dyDescent="0.25">
      <c r="J27" s="9">
        <f>IF(A27="","",IFERROR(INDEX('Items'!$E:$E,MATCH(C27,'Items'!$A:$A,0)),"Item not found"))</f>
      </c>
      <c r="K27" s="9">
        <f>IF(OR(A27="",NOT(ISNUMBER(J27))),"",ROUND(D27*J27,2))</f>
      </c>
      <c r="L27" s="10">
        <f>IF(A27="","",IF(F27="","No diary ID",IF(COUNTIF('Diary index'!$A:$A,F27)&gt;0,"Yes","Not in the diary index")))</f>
      </c>
    </row>
    <row r="28" spans="1:12" x14ac:dyDescent="0.25">
      <c r="J28" s="9">
        <f>IF(A28="","",IFERROR(INDEX('Items'!$E:$E,MATCH(C28,'Items'!$A:$A,0)),"Item not found"))</f>
      </c>
      <c r="K28" s="9">
        <f>IF(OR(A28="",NOT(ISNUMBER(J28))),"",ROUND(D28*J28,2))</f>
      </c>
      <c r="L28" s="10">
        <f>IF(A28="","",IF(F28="","No diary ID",IF(COUNTIF('Diary index'!$A:$A,F28)&gt;0,"Yes","Not in the diary index")))</f>
      </c>
    </row>
    <row r="29" spans="1:12" x14ac:dyDescent="0.25">
      <c r="J29" s="9">
        <f>IF(A29="","",IFERROR(INDEX('Items'!$E:$E,MATCH(C29,'Items'!$A:$A,0)),"Item not found"))</f>
      </c>
      <c r="K29" s="9">
        <f>IF(OR(A29="",NOT(ISNUMBER(J29))),"",ROUND(D29*J29,2))</f>
      </c>
      <c r="L29" s="10">
        <f>IF(A29="","",IF(F29="","No diary ID",IF(COUNTIF('Diary index'!$A:$A,F29)&gt;0,"Yes","Not in the diary index")))</f>
      </c>
    </row>
    <row r="30" spans="1:12" x14ac:dyDescent="0.25">
      <c r="J30" s="9">
        <f>IF(A30="","",IFERROR(INDEX('Items'!$E:$E,MATCH(C30,'Items'!$A:$A,0)),"Item not found"))</f>
      </c>
      <c r="K30" s="9">
        <f>IF(OR(A30="",NOT(ISNUMBER(J30))),"",ROUND(D30*J30,2))</f>
      </c>
      <c r="L30" s="10">
        <f>IF(A30="","",IF(F30="","No diary ID",IF(COUNTIF('Diary index'!$A:$A,F30)&gt;0,"Yes","Not in the diary index")))</f>
      </c>
    </row>
    <row r="31" spans="1:12" x14ac:dyDescent="0.25">
      <c r="J31" s="9">
        <f>IF(A31="","",IFERROR(INDEX('Items'!$E:$E,MATCH(C31,'Items'!$A:$A,0)),"Item not found"))</f>
      </c>
      <c r="K31" s="9">
        <f>IF(OR(A31="",NOT(ISNUMBER(J31))),"",ROUND(D31*J31,2))</f>
      </c>
      <c r="L31" s="10">
        <f>IF(A31="","",IF(F31="","No diary ID",IF(COUNTIF('Diary index'!$A:$A,F31)&gt;0,"Yes","Not in the diary index")))</f>
      </c>
    </row>
    <row r="32" spans="1:12" x14ac:dyDescent="0.25">
      <c r="J32" s="9">
        <f>IF(A32="","",IFERROR(INDEX('Items'!$E:$E,MATCH(C32,'Items'!$A:$A,0)),"Item not found"))</f>
      </c>
      <c r="K32" s="9">
        <f>IF(OR(A32="",NOT(ISNUMBER(J32))),"",ROUND(D32*J32,2))</f>
      </c>
      <c r="L32" s="10">
        <f>IF(A32="","",IF(F32="","No diary ID",IF(COUNTIF('Diary index'!$A:$A,F32)&gt;0,"Yes","Not in the diary index")))</f>
      </c>
    </row>
    <row r="33" spans="1:12" x14ac:dyDescent="0.25">
      <c r="J33" s="9">
        <f>IF(A33="","",IFERROR(INDEX('Items'!$E:$E,MATCH(C33,'Items'!$A:$A,0)),"Item not found"))</f>
      </c>
      <c r="K33" s="9">
        <f>IF(OR(A33="",NOT(ISNUMBER(J33))),"",ROUND(D33*J33,2))</f>
      </c>
      <c r="L33" s="10">
        <f>IF(A33="","",IF(F33="","No diary ID",IF(COUNTIF('Diary index'!$A:$A,F33)&gt;0,"Yes","Not in the diary index")))</f>
      </c>
    </row>
    <row r="34" spans="1:12" x14ac:dyDescent="0.25">
      <c r="J34" s="9">
        <f>IF(A34="","",IFERROR(INDEX('Items'!$E:$E,MATCH(C34,'Items'!$A:$A,0)),"Item not found"))</f>
      </c>
      <c r="K34" s="9">
        <f>IF(OR(A34="",NOT(ISNUMBER(J34))),"",ROUND(D34*J34,2))</f>
      </c>
      <c r="L34" s="10">
        <f>IF(A34="","",IF(F34="","No diary ID",IF(COUNTIF('Diary index'!$A:$A,F34)&gt;0,"Yes","Not in the diary index")))</f>
      </c>
    </row>
    <row r="35" spans="1:12" x14ac:dyDescent="0.25">
      <c r="J35" s="9">
        <f>IF(A35="","",IFERROR(INDEX('Items'!$E:$E,MATCH(C35,'Items'!$A:$A,0)),"Item not found"))</f>
      </c>
      <c r="K35" s="9">
        <f>IF(OR(A35="",NOT(ISNUMBER(J35))),"",ROUND(D35*J35,2))</f>
      </c>
      <c r="L35" s="10">
        <f>IF(A35="","",IF(F35="","No diary ID",IF(COUNTIF('Diary index'!$A:$A,F35)&gt;0,"Yes","Not in the diary index")))</f>
      </c>
    </row>
    <row r="36" spans="1:12" x14ac:dyDescent="0.25">
      <c r="J36" s="9">
        <f>IF(A36="","",IFERROR(INDEX('Items'!$E:$E,MATCH(C36,'Items'!$A:$A,0)),"Item not found"))</f>
      </c>
      <c r="K36" s="9">
        <f>IF(OR(A36="",NOT(ISNUMBER(J36))),"",ROUND(D36*J36,2))</f>
      </c>
      <c r="L36" s="10">
        <f>IF(A36="","",IF(F36="","No diary ID",IF(COUNTIF('Diary index'!$A:$A,F36)&gt;0,"Yes","Not in the diary index")))</f>
      </c>
    </row>
    <row r="37" spans="1:12" x14ac:dyDescent="0.25">
      <c r="J37" s="9">
        <f>IF(A37="","",IFERROR(INDEX('Items'!$E:$E,MATCH(C37,'Items'!$A:$A,0)),"Item not found"))</f>
      </c>
      <c r="K37" s="9">
        <f>IF(OR(A37="",NOT(ISNUMBER(J37))),"",ROUND(D37*J37,2))</f>
      </c>
      <c r="L37" s="10">
        <f>IF(A37="","",IF(F37="","No diary ID",IF(COUNTIF('Diary index'!$A:$A,F37)&gt;0,"Yes","Not in the diary index")))</f>
      </c>
    </row>
    <row r="38" spans="1:12" x14ac:dyDescent="0.25">
      <c r="J38" s="9">
        <f>IF(A38="","",IFERROR(INDEX('Items'!$E:$E,MATCH(C38,'Items'!$A:$A,0)),"Item not found"))</f>
      </c>
      <c r="K38" s="9">
        <f>IF(OR(A38="",NOT(ISNUMBER(J38))),"",ROUND(D38*J38,2))</f>
      </c>
      <c r="L38" s="10">
        <f>IF(A38="","",IF(F38="","No diary ID",IF(COUNTIF('Diary index'!$A:$A,F38)&gt;0,"Yes","Not in the diary index")))</f>
      </c>
    </row>
    <row r="39" spans="1:12" x14ac:dyDescent="0.25">
      <c r="J39" s="9">
        <f>IF(A39="","",IFERROR(INDEX('Items'!$E:$E,MATCH(C39,'Items'!$A:$A,0)),"Item not found"))</f>
      </c>
      <c r="K39" s="9">
        <f>IF(OR(A39="",NOT(ISNUMBER(J39))),"",ROUND(D39*J39,2))</f>
      </c>
      <c r="L39" s="10">
        <f>IF(A39="","",IF(F39="","No diary ID",IF(COUNTIF('Diary index'!$A:$A,F39)&gt;0,"Yes","Not in the diary index")))</f>
      </c>
    </row>
    <row r="40" spans="1:12" x14ac:dyDescent="0.25">
      <c r="J40" s="9">
        <f>IF(A40="","",IFERROR(INDEX('Items'!$E:$E,MATCH(C40,'Items'!$A:$A,0)),"Item not found"))</f>
      </c>
      <c r="K40" s="9">
        <f>IF(OR(A40="",NOT(ISNUMBER(J40))),"",ROUND(D40*J40,2))</f>
      </c>
      <c r="L40" s="10">
        <f>IF(A40="","",IF(F40="","No diary ID",IF(COUNTIF('Diary index'!$A:$A,F40)&gt;0,"Yes","Not in the diary index")))</f>
      </c>
    </row>
    <row r="41" spans="1:12" x14ac:dyDescent="0.25">
      <c r="J41" s="9">
        <f>IF(A41="","",IFERROR(INDEX('Items'!$E:$E,MATCH(C41,'Items'!$A:$A,0)),"Item not found"))</f>
      </c>
      <c r="K41" s="9">
        <f>IF(OR(A41="",NOT(ISNUMBER(J41))),"",ROUND(D41*J41,2))</f>
      </c>
      <c r="L41" s="10">
        <f>IF(A41="","",IF(F41="","No diary ID",IF(COUNTIF('Diary index'!$A:$A,F41)&gt;0,"Yes","Not in the diary index")))</f>
      </c>
    </row>
    <row r="42" spans="1:12" x14ac:dyDescent="0.25">
      <c r="J42" s="9">
        <f>IF(A42="","",IFERROR(INDEX('Items'!$E:$E,MATCH(C42,'Items'!$A:$A,0)),"Item not found"))</f>
      </c>
      <c r="K42" s="9">
        <f>IF(OR(A42="",NOT(ISNUMBER(J42))),"",ROUND(D42*J42,2))</f>
      </c>
      <c r="L42" s="10">
        <f>IF(A42="","",IF(F42="","No diary ID",IF(COUNTIF('Diary index'!$A:$A,F42)&gt;0,"Yes","Not in the diary index")))</f>
      </c>
    </row>
    <row r="43" spans="1:12" x14ac:dyDescent="0.25">
      <c r="J43" s="9">
        <f>IF(A43="","",IFERROR(INDEX('Items'!$E:$E,MATCH(C43,'Items'!$A:$A,0)),"Item not found"))</f>
      </c>
      <c r="K43" s="9">
        <f>IF(OR(A43="",NOT(ISNUMBER(J43))),"",ROUND(D43*J43,2))</f>
      </c>
      <c r="L43" s="10">
        <f>IF(A43="","",IF(F43="","No diary ID",IF(COUNTIF('Diary index'!$A:$A,F43)&gt;0,"Yes","Not in the diary index")))</f>
      </c>
    </row>
    <row r="44" spans="1:12" x14ac:dyDescent="0.25">
      <c r="J44" s="9">
        <f>IF(A44="","",IFERROR(INDEX('Items'!$E:$E,MATCH(C44,'Items'!$A:$A,0)),"Item not found"))</f>
      </c>
      <c r="K44" s="9">
        <f>IF(OR(A44="",NOT(ISNUMBER(J44))),"",ROUND(D44*J44,2))</f>
      </c>
      <c r="L44" s="10">
        <f>IF(A44="","",IF(F44="","No diary ID",IF(COUNTIF('Diary index'!$A:$A,F44)&gt;0,"Yes","Not in the diary index")))</f>
      </c>
    </row>
    <row r="45" spans="1:12" x14ac:dyDescent="0.25">
      <c r="J45" s="9">
        <f>IF(A45="","",IFERROR(INDEX('Items'!$E:$E,MATCH(C45,'Items'!$A:$A,0)),"Item not found"))</f>
      </c>
      <c r="K45" s="9">
        <f>IF(OR(A45="",NOT(ISNUMBER(J45))),"",ROUND(D45*J45,2))</f>
      </c>
      <c r="L45" s="10">
        <f>IF(A45="","",IF(F45="","No diary ID",IF(COUNTIF('Diary index'!$A:$A,F45)&gt;0,"Yes","Not in the diary index")))</f>
      </c>
    </row>
    <row r="46" spans="1:12" x14ac:dyDescent="0.25">
      <c r="J46" s="9">
        <f>IF(A46="","",IFERROR(INDEX('Items'!$E:$E,MATCH(C46,'Items'!$A:$A,0)),"Item not found"))</f>
      </c>
      <c r="K46" s="9">
        <f>IF(OR(A46="",NOT(ISNUMBER(J46))),"",ROUND(D46*J46,2))</f>
      </c>
      <c r="L46" s="10">
        <f>IF(A46="","",IF(F46="","No diary ID",IF(COUNTIF('Diary index'!$A:$A,F46)&gt;0,"Yes","Not in the diary index")))</f>
      </c>
    </row>
    <row r="47" spans="1:12" x14ac:dyDescent="0.25">
      <c r="J47" s="9">
        <f>IF(A47="","",IFERROR(INDEX('Items'!$E:$E,MATCH(C47,'Items'!$A:$A,0)),"Item not found"))</f>
      </c>
      <c r="K47" s="9">
        <f>IF(OR(A47="",NOT(ISNUMBER(J47))),"",ROUND(D47*J47,2))</f>
      </c>
      <c r="L47" s="10">
        <f>IF(A47="","",IF(F47="","No diary ID",IF(COUNTIF('Diary index'!$A:$A,F47)&gt;0,"Yes","Not in the diary index")))</f>
      </c>
    </row>
    <row r="48" spans="1:12" x14ac:dyDescent="0.25">
      <c r="J48" s="9">
        <f>IF(A48="","",IFERROR(INDEX('Items'!$E:$E,MATCH(C48,'Items'!$A:$A,0)),"Item not found"))</f>
      </c>
      <c r="K48" s="9">
        <f>IF(OR(A48="",NOT(ISNUMBER(J48))),"",ROUND(D48*J48,2))</f>
      </c>
      <c r="L48" s="10">
        <f>IF(A48="","",IF(F48="","No diary ID",IF(COUNTIF('Diary index'!$A:$A,F48)&gt;0,"Yes","Not in the diary index")))</f>
      </c>
    </row>
    <row r="49" spans="1:12" x14ac:dyDescent="0.25">
      <c r="J49" s="9">
        <f>IF(A49="","",IFERROR(INDEX('Items'!$E:$E,MATCH(C49,'Items'!$A:$A,0)),"Item not found"))</f>
      </c>
      <c r="K49" s="9">
        <f>IF(OR(A49="",NOT(ISNUMBER(J49))),"",ROUND(D49*J49,2))</f>
      </c>
      <c r="L49" s="10">
        <f>IF(A49="","",IF(F49="","No diary ID",IF(COUNTIF('Diary index'!$A:$A,F49)&gt;0,"Yes","Not in the diary index")))</f>
      </c>
    </row>
    <row r="50" spans="1:12" x14ac:dyDescent="0.25">
      <c r="J50" s="9">
        <f>IF(A50="","",IFERROR(INDEX('Items'!$E:$E,MATCH(C50,'Items'!$A:$A,0)),"Item not found"))</f>
      </c>
      <c r="K50" s="9">
        <f>IF(OR(A50="",NOT(ISNUMBER(J50))),"",ROUND(D50*J50,2))</f>
      </c>
      <c r="L50" s="10">
        <f>IF(A50="","",IF(F50="","No diary ID",IF(COUNTIF('Diary index'!$A:$A,F50)&gt;0,"Yes","Not in the diary index")))</f>
      </c>
    </row>
    <row r="52" spans="1:1" s="2" customFormat="1" x14ac:dyDescent="0.25">
      <c r="A52" s="2" t="s">
        <v>32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pane xSplit="1" ySplit="4" topLeftCell="B5" activePane="bottomRight" state="frozen"/>
      <selection pane="bottomRight"/>
    </sheetView>
  </sheetViews>
  <sheetFormatPr defaultRowHeight="15" outlineLevelRow="0" outlineLevelCol="0" x14ac:dyDescent="55"/>
  <cols>
    <col min="1" max="2" width="11" customWidth="1"/>
    <col min="3" max="3" width="13" customWidth="1"/>
    <col min="4" max="4" width="12" customWidth="1"/>
    <col min="5" max="5" width="15" customWidth="1"/>
    <col min="6" max="6" width="20" customWidth="1"/>
    <col min="7" max="7" width="12" customWidth="1"/>
    <col min="8" max="8" width="17" customWidth="1"/>
    <col min="9" max="9" width="19" customWidth="1"/>
    <col min="10" max="10" width="44" customWidth="1"/>
  </cols>
  <sheetData>
    <row r="1" spans="1:1" s="1" customFormat="1" x14ac:dyDescent="0.25">
      <c r="A1" s="1" t="s">
        <v>94</v>
      </c>
    </row>
    <row r="2" spans="1:1" s="2" customFormat="1" x14ac:dyDescent="0.25">
      <c r="A2" s="2" t="s">
        <v>95</v>
      </c>
    </row>
    <row r="4" spans="1:10" s="3" customFormat="1" x14ac:dyDescent="0.25">
      <c r="A4" s="7" t="s">
        <v>96</v>
      </c>
      <c r="B4" s="7" t="s">
        <v>35</v>
      </c>
      <c r="C4" s="7" t="s">
        <v>36</v>
      </c>
      <c r="D4" s="7" t="s">
        <v>44</v>
      </c>
      <c r="E4" s="7" t="s">
        <v>45</v>
      </c>
      <c r="F4" s="7" t="s">
        <v>97</v>
      </c>
      <c r="G4" s="7" t="s">
        <v>98</v>
      </c>
      <c r="H4" s="7" t="s">
        <v>99</v>
      </c>
      <c r="I4" s="7" t="s">
        <v>100</v>
      </c>
      <c r="J4" s="7" t="s">
        <v>101</v>
      </c>
    </row>
    <row r="5" spans="1:10" x14ac:dyDescent="0.25">
      <c r="A5" t="s">
        <v>102</v>
      </c>
      <c r="B5" t="s">
        <v>48</v>
      </c>
      <c r="C5" t="s">
        <v>49</v>
      </c>
      <c r="D5">
        <v>1</v>
      </c>
      <c r="E5">
        <v>77700</v>
      </c>
      <c r="F5">
        <v>0</v>
      </c>
      <c r="G5">
        <v>77700</v>
      </c>
      <c r="H5" t="s">
        <v>73</v>
      </c>
      <c r="I5" s="10">
        <f>IF(A5="","",IF(H5="","No measurement ID","Yes"))</f>
      </c>
      <c r="J5" s="9">
        <f>IF(A5="","",ROUND(E5-F5-G5,2))</f>
      </c>
    </row>
    <row r="6" spans="1:10" x14ac:dyDescent="0.25">
      <c r="A6" t="s">
        <v>103</v>
      </c>
      <c r="B6" t="s">
        <v>48</v>
      </c>
      <c r="C6" t="s">
        <v>49</v>
      </c>
      <c r="D6">
        <v>1</v>
      </c>
      <c r="E6">
        <v>77700</v>
      </c>
      <c r="F6">
        <v>77700</v>
      </c>
      <c r="G6">
        <v>0</v>
      </c>
      <c r="H6" t="s">
        <v>73</v>
      </c>
      <c r="I6" s="10">
        <f>IF(A6="","",IF(H6="","No measurement ID","Yes"))</f>
      </c>
      <c r="J6" s="9">
        <f>IF(A6="","",ROUND(E6-F6-G6,2))</f>
      </c>
    </row>
    <row r="7" spans="1:10" x14ac:dyDescent="0.25">
      <c r="A7" t="s">
        <v>103</v>
      </c>
      <c r="B7" t="s">
        <v>51</v>
      </c>
      <c r="C7" t="s">
        <v>52</v>
      </c>
      <c r="D7">
        <v>0.6</v>
      </c>
      <c r="E7">
        <v>49020</v>
      </c>
      <c r="F7">
        <v>0</v>
      </c>
      <c r="G7">
        <v>49020</v>
      </c>
      <c r="H7" t="s">
        <v>104</v>
      </c>
      <c r="I7" s="10">
        <f>IF(A7="","",IF(H7="","No measurement ID","Yes"))</f>
      </c>
      <c r="J7" s="9">
        <f>IF(A7="","",ROUND(E7-F7-G7,2))</f>
      </c>
    </row>
    <row r="8" spans="1:10" x14ac:dyDescent="0.25">
      <c r="A8" t="s">
        <v>103</v>
      </c>
      <c r="B8" t="s">
        <v>55</v>
      </c>
      <c r="C8" t="s">
        <v>56</v>
      </c>
      <c r="D8">
        <v>0.3333</v>
      </c>
      <c r="E8">
        <v>19000</v>
      </c>
      <c r="F8">
        <v>0</v>
      </c>
      <c r="G8">
        <v>19000</v>
      </c>
      <c r="H8" t="s">
        <v>86</v>
      </c>
      <c r="I8" s="10">
        <f>IF(A8="","",IF(H8="","No measurement ID","Yes"))</f>
      </c>
      <c r="J8" s="9">
        <f>IF(A8="","",ROUND(E8-F8-G8,2))</f>
      </c>
    </row>
    <row r="9" spans="1:10" x14ac:dyDescent="0.25">
      <c r="I9" s="10">
        <f>IF(A9="","",IF(H9="","No measurement ID","Yes"))</f>
      </c>
      <c r="J9" s="9">
        <f>IF(A9="","",ROUND(E9-F9-G9,2))</f>
      </c>
    </row>
    <row r="10" spans="1:10" x14ac:dyDescent="0.25">
      <c r="I10" s="10">
        <f>IF(A10="","",IF(H10="","No measurement ID","Yes"))</f>
      </c>
      <c r="J10" s="9">
        <f>IF(A10="","",ROUND(E10-F10-G10,2))</f>
      </c>
    </row>
    <row r="11" spans="1:10" x14ac:dyDescent="0.25">
      <c r="I11" s="10">
        <f>IF(A11="","",IF(H11="","No measurement ID","Yes"))</f>
      </c>
      <c r="J11" s="9">
        <f>IF(A11="","",ROUND(E11-F11-G11,2))</f>
      </c>
    </row>
    <row r="12" spans="1:10" x14ac:dyDescent="0.25">
      <c r="I12" s="10">
        <f>IF(A12="","",IF(H12="","No measurement ID","Yes"))</f>
      </c>
      <c r="J12" s="9">
        <f>IF(A12="","",ROUND(E12-F12-G12,2))</f>
      </c>
    </row>
    <row r="13" spans="1:10" x14ac:dyDescent="0.25">
      <c r="I13" s="10">
        <f>IF(A13="","",IF(H13="","No measurement ID","Yes"))</f>
      </c>
      <c r="J13" s="9">
        <f>IF(A13="","",ROUND(E13-F13-G13,2))</f>
      </c>
    </row>
    <row r="14" spans="1:10" x14ac:dyDescent="0.25">
      <c r="I14" s="10">
        <f>IF(A14="","",IF(H14="","No measurement ID","Yes"))</f>
      </c>
      <c r="J14" s="9">
        <f>IF(A14="","",ROUND(E14-F14-G14,2))</f>
      </c>
    </row>
    <row r="15" spans="1:10" x14ac:dyDescent="0.25">
      <c r="I15" s="10">
        <f>IF(A15="","",IF(H15="","No measurement ID","Yes"))</f>
      </c>
      <c r="J15" s="9">
        <f>IF(A15="","",ROUND(E15-F15-G15,2))</f>
      </c>
    </row>
    <row r="16" spans="1:10" x14ac:dyDescent="0.25">
      <c r="I16" s="10">
        <f>IF(A16="","",IF(H16="","No measurement ID","Yes"))</f>
      </c>
      <c r="J16" s="9">
        <f>IF(A16="","",ROUND(E16-F16-G16,2))</f>
      </c>
    </row>
    <row r="17" spans="1:10" x14ac:dyDescent="0.25">
      <c r="I17" s="10">
        <f>IF(A17="","",IF(H17="","No measurement ID","Yes"))</f>
      </c>
      <c r="J17" s="9">
        <f>IF(A17="","",ROUND(E17-F17-G17,2))</f>
      </c>
    </row>
    <row r="18" spans="1:10" x14ac:dyDescent="0.25">
      <c r="I18" s="10">
        <f>IF(A18="","",IF(H18="","No measurement ID","Yes"))</f>
      </c>
      <c r="J18" s="9">
        <f>IF(A18="","",ROUND(E18-F18-G18,2))</f>
      </c>
    </row>
    <row r="19" spans="1:10" x14ac:dyDescent="0.25">
      <c r="I19" s="10">
        <f>IF(A19="","",IF(H19="","No measurement ID","Yes"))</f>
      </c>
      <c r="J19" s="9">
        <f>IF(A19="","",ROUND(E19-F19-G19,2))</f>
      </c>
    </row>
    <row r="20" spans="1:10" x14ac:dyDescent="0.25">
      <c r="I20" s="10">
        <f>IF(A20="","",IF(H20="","No measurement ID","Yes"))</f>
      </c>
      <c r="J20" s="9">
        <f>IF(A20="","",ROUND(E20-F20-G20,2))</f>
      </c>
    </row>
    <row r="21" spans="1:10" x14ac:dyDescent="0.25">
      <c r="I21" s="10">
        <f>IF(A21="","",IF(H21="","No measurement ID","Yes"))</f>
      </c>
      <c r="J21" s="9">
        <f>IF(A21="","",ROUND(E21-F21-G21,2))</f>
      </c>
    </row>
    <row r="22" spans="1:10" x14ac:dyDescent="0.25">
      <c r="I22" s="10">
        <f>IF(A22="","",IF(H22="","No measurement ID","Yes"))</f>
      </c>
      <c r="J22" s="9">
        <f>IF(A22="","",ROUND(E22-F22-G22,2))</f>
      </c>
    </row>
    <row r="23" spans="1:10" x14ac:dyDescent="0.25">
      <c r="I23" s="10">
        <f>IF(A23="","",IF(H23="","No measurement ID","Yes"))</f>
      </c>
      <c r="J23" s="9">
        <f>IF(A23="","",ROUND(E23-F23-G23,2))</f>
      </c>
    </row>
    <row r="24" spans="1:10" x14ac:dyDescent="0.25">
      <c r="I24" s="10">
        <f>IF(A24="","",IF(H24="","No measurement ID","Yes"))</f>
      </c>
      <c r="J24" s="9">
        <f>IF(A24="","",ROUND(E24-F24-G24,2))</f>
      </c>
    </row>
    <row r="25" spans="1:10" x14ac:dyDescent="0.25">
      <c r="I25" s="10">
        <f>IF(A25="","",IF(H25="","No measurement ID","Yes"))</f>
      </c>
      <c r="J25" s="9">
        <f>IF(A25="","",ROUND(E25-F25-G25,2))</f>
      </c>
    </row>
    <row r="26" spans="1:10" x14ac:dyDescent="0.25">
      <c r="I26" s="10">
        <f>IF(A26="","",IF(H26="","No measurement ID","Yes"))</f>
      </c>
      <c r="J26" s="9">
        <f>IF(A26="","",ROUND(E26-F26-G26,2))</f>
      </c>
    </row>
    <row r="27" spans="1:10" x14ac:dyDescent="0.25">
      <c r="I27" s="10">
        <f>IF(A27="","",IF(H27="","No measurement ID","Yes"))</f>
      </c>
      <c r="J27" s="9">
        <f>IF(A27="","",ROUND(E27-F27-G27,2))</f>
      </c>
    </row>
    <row r="28" spans="1:10" x14ac:dyDescent="0.25">
      <c r="I28" s="10">
        <f>IF(A28="","",IF(H28="","No measurement ID","Yes"))</f>
      </c>
      <c r="J28" s="9">
        <f>IF(A28="","",ROUND(E28-F28-G28,2))</f>
      </c>
    </row>
    <row r="29" spans="1:10" x14ac:dyDescent="0.25">
      <c r="I29" s="10">
        <f>IF(A29="","",IF(H29="","No measurement ID","Yes"))</f>
      </c>
      <c r="J29" s="9">
        <f>IF(A29="","",ROUND(E29-F29-G29,2))</f>
      </c>
    </row>
    <row r="30" spans="1:10" x14ac:dyDescent="0.25">
      <c r="I30" s="10">
        <f>IF(A30="","",IF(H30="","No measurement ID","Yes"))</f>
      </c>
      <c r="J30" s="9">
        <f>IF(A30="","",ROUND(E30-F30-G30,2))</f>
      </c>
    </row>
    <row r="31" spans="1:10" x14ac:dyDescent="0.25">
      <c r="I31" s="10">
        <f>IF(A31="","",IF(H31="","No measurement ID","Yes"))</f>
      </c>
      <c r="J31" s="9">
        <f>IF(A31="","",ROUND(E31-F31-G31,2))</f>
      </c>
    </row>
    <row r="32" spans="1:10" x14ac:dyDescent="0.25">
      <c r="I32" s="10">
        <f>IF(A32="","",IF(H32="","No measurement ID","Yes"))</f>
      </c>
      <c r="J32" s="9">
        <f>IF(A32="","",ROUND(E32-F32-G32,2))</f>
      </c>
    </row>
    <row r="33" spans="1:10" x14ac:dyDescent="0.25">
      <c r="I33" s="10">
        <f>IF(A33="","",IF(H33="","No measurement ID","Yes"))</f>
      </c>
      <c r="J33" s="9">
        <f>IF(A33="","",ROUND(E33-F33-G33,2))</f>
      </c>
    </row>
    <row r="34" spans="1:10" x14ac:dyDescent="0.25">
      <c r="I34" s="10">
        <f>IF(A34="","",IF(H34="","No measurement ID","Yes"))</f>
      </c>
      <c r="J34" s="9">
        <f>IF(A34="","",ROUND(E34-F34-G34,2))</f>
      </c>
    </row>
    <row r="35" spans="1:10" x14ac:dyDescent="0.25">
      <c r="I35" s="10">
        <f>IF(A35="","",IF(H35="","No measurement ID","Yes"))</f>
      </c>
      <c r="J35" s="9">
        <f>IF(A35="","",ROUND(E35-F35-G35,2))</f>
      </c>
    </row>
    <row r="36" spans="1:10" x14ac:dyDescent="0.25">
      <c r="I36" s="10">
        <f>IF(A36="","",IF(H36="","No measurement ID","Yes"))</f>
      </c>
      <c r="J36" s="9">
        <f>IF(A36="","",ROUND(E36-F36-G36,2))</f>
      </c>
    </row>
    <row r="37" spans="1:10" x14ac:dyDescent="0.25">
      <c r="I37" s="10">
        <f>IF(A37="","",IF(H37="","No measurement ID","Yes"))</f>
      </c>
      <c r="J37" s="9">
        <f>IF(A37="","",ROUND(E37-F37-G37,2))</f>
      </c>
    </row>
    <row r="38" spans="1:10" x14ac:dyDescent="0.25">
      <c r="I38" s="10">
        <f>IF(A38="","",IF(H38="","No measurement ID","Yes"))</f>
      </c>
      <c r="J38" s="9">
        <f>IF(A38="","",ROUND(E38-F38-G38,2))</f>
      </c>
    </row>
    <row r="39" spans="1:10" x14ac:dyDescent="0.25">
      <c r="I39" s="10">
        <f>IF(A39="","",IF(H39="","No measurement ID","Yes"))</f>
      </c>
      <c r="J39" s="9">
        <f>IF(A39="","",ROUND(E39-F39-G39,2))</f>
      </c>
    </row>
    <row r="40" spans="1:10" x14ac:dyDescent="0.25">
      <c r="I40" s="10">
        <f>IF(A40="","",IF(H40="","No measurement ID","Yes"))</f>
      </c>
      <c r="J40" s="9">
        <f>IF(A40="","",ROUND(E40-F40-G40,2))</f>
      </c>
    </row>
    <row r="41" spans="1:10" x14ac:dyDescent="0.25">
      <c r="I41" s="10">
        <f>IF(A41="","",IF(H41="","No measurement ID","Yes"))</f>
      </c>
      <c r="J41" s="9">
        <f>IF(A41="","",ROUND(E41-F41-G41,2))</f>
      </c>
    </row>
    <row r="42" spans="1:10" x14ac:dyDescent="0.25">
      <c r="I42" s="10">
        <f>IF(A42="","",IF(H42="","No measurement ID","Yes"))</f>
      </c>
      <c r="J42" s="9">
        <f>IF(A42="","",ROUND(E42-F42-G42,2))</f>
      </c>
    </row>
    <row r="43" spans="1:10" x14ac:dyDescent="0.25">
      <c r="I43" s="10">
        <f>IF(A43="","",IF(H43="","No measurement ID","Yes"))</f>
      </c>
      <c r="J43" s="9">
        <f>IF(A43="","",ROUND(E43-F43-G43,2))</f>
      </c>
    </row>
    <row r="44" spans="1:10" x14ac:dyDescent="0.25">
      <c r="I44" s="10">
        <f>IF(A44="","",IF(H44="","No measurement ID","Yes"))</f>
      </c>
      <c r="J44" s="9">
        <f>IF(A44="","",ROUND(E44-F44-G44,2))</f>
      </c>
    </row>
    <row r="45" spans="1:10" x14ac:dyDescent="0.25">
      <c r="I45" s="10">
        <f>IF(A45="","",IF(H45="","No measurement ID","Yes"))</f>
      </c>
      <c r="J45" s="9">
        <f>IF(A45="","",ROUND(E45-F45-G45,2))</f>
      </c>
    </row>
    <row r="46" spans="1:10" x14ac:dyDescent="0.25">
      <c r="I46" s="10">
        <f>IF(A46="","",IF(H46="","No measurement ID","Yes"))</f>
      </c>
      <c r="J46" s="9">
        <f>IF(A46="","",ROUND(E46-F46-G46,2))</f>
      </c>
    </row>
    <row r="47" spans="1:10" x14ac:dyDescent="0.25">
      <c r="I47" s="10">
        <f>IF(A47="","",IF(H47="","No measurement ID","Yes"))</f>
      </c>
      <c r="J47" s="9">
        <f>IF(A47="","",ROUND(E47-F47-G47,2))</f>
      </c>
    </row>
    <row r="48" spans="1:10" x14ac:dyDescent="0.25">
      <c r="I48" s="10">
        <f>IF(A48="","",IF(H48="","No measurement ID","Yes"))</f>
      </c>
      <c r="J48" s="9">
        <f>IF(A48="","",ROUND(E48-F48-G48,2))</f>
      </c>
    </row>
    <row r="50" spans="1:1" s="2" customFormat="1" x14ac:dyDescent="0.25">
      <c r="A50" s="2" t="s">
        <v>32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workbookViewId="0">
      <pane xSplit="1" ySplit="4" topLeftCell="B5" activePane="bottomRight" state="frozen"/>
      <selection pane="bottomRight"/>
    </sheetView>
  </sheetViews>
  <sheetFormatPr defaultRowHeight="15" outlineLevelRow="0" outlineLevelCol="0" x14ac:dyDescent="55"/>
  <cols>
    <col min="1" max="5" width="11" customWidth="1"/>
    <col min="6" max="6" width="12" customWidth="1"/>
    <col min="7" max="7" width="13" customWidth="1"/>
    <col min="8" max="8" width="14" customWidth="1"/>
    <col min="9" max="9" width="13" customWidth="1"/>
    <col min="10" max="10" width="18" customWidth="1"/>
    <col min="11" max="11" width="20" customWidth="1"/>
    <col min="12" max="12" width="15" customWidth="1"/>
    <col min="13" max="13" width="11" customWidth="1"/>
    <col min="14" max="14" width="27" customWidth="1"/>
    <col min="15" max="15" width="20" customWidth="1"/>
    <col min="16" max="17" width="11" customWidth="1"/>
    <col min="18" max="18" width="19" customWidth="1"/>
    <col min="19" max="19" width="18" customWidth="1"/>
    <col min="20" max="20" width="13" customWidth="1"/>
    <col min="21" max="21" width="35" customWidth="1"/>
    <col min="22" max="22" width="31" customWidth="1"/>
    <col min="23" max="23" width="11" customWidth="1"/>
  </cols>
  <sheetData>
    <row r="1" spans="1:1" s="1" customFormat="1" x14ac:dyDescent="0.25">
      <c r="A1" s="1" t="s">
        <v>105</v>
      </c>
    </row>
    <row r="2" spans="1:1" s="2" customFormat="1" x14ac:dyDescent="0.25">
      <c r="A2" s="2" t="s">
        <v>106</v>
      </c>
    </row>
    <row r="4" spans="1:23" s="3" customFormat="1" x14ac:dyDescent="0.25">
      <c r="A4" s="7" t="s">
        <v>96</v>
      </c>
      <c r="B4" s="7" t="s">
        <v>107</v>
      </c>
      <c r="C4" s="7" t="s">
        <v>108</v>
      </c>
      <c r="D4" s="7" t="s">
        <v>109</v>
      </c>
      <c r="E4" s="7" t="s">
        <v>110</v>
      </c>
      <c r="F4" s="7" t="s">
        <v>111</v>
      </c>
      <c r="G4" s="7" t="s">
        <v>112</v>
      </c>
      <c r="H4" s="7" t="s">
        <v>113</v>
      </c>
      <c r="I4" s="7" t="s">
        <v>114</v>
      </c>
      <c r="J4" s="7" t="s">
        <v>115</v>
      </c>
      <c r="K4" s="7" t="s">
        <v>116</v>
      </c>
      <c r="L4" s="7" t="s">
        <v>117</v>
      </c>
      <c r="M4" s="7" t="s">
        <v>118</v>
      </c>
      <c r="N4" s="7" t="s">
        <v>119</v>
      </c>
      <c r="O4" s="7" t="s">
        <v>120</v>
      </c>
      <c r="P4" s="7" t="s">
        <v>69</v>
      </c>
      <c r="Q4" s="7" t="s">
        <v>121</v>
      </c>
      <c r="R4" s="7" t="s">
        <v>122</v>
      </c>
      <c r="S4" s="7" t="s">
        <v>123</v>
      </c>
      <c r="T4" s="7" t="s">
        <v>124</v>
      </c>
      <c r="U4" s="7" t="s">
        <v>125</v>
      </c>
      <c r="V4" s="7" t="s">
        <v>126</v>
      </c>
      <c r="W4" s="7" t="s">
        <v>127</v>
      </c>
    </row>
    <row r="5" spans="1:23" x14ac:dyDescent="0.25">
      <c r="A5" t="s">
        <v>102</v>
      </c>
      <c r="B5" t="s">
        <v>128</v>
      </c>
      <c r="C5" t="s">
        <v>129</v>
      </c>
      <c r="D5" t="s">
        <v>130</v>
      </c>
      <c r="E5" t="s">
        <v>131</v>
      </c>
      <c r="F5" s="8">
        <v>46295</v>
      </c>
      <c r="G5" s="8">
        <v>46296</v>
      </c>
      <c r="H5" s="8">
        <v>46325</v>
      </c>
      <c r="I5" s="8">
        <v>46325</v>
      </c>
      <c r="J5">
        <v>77700</v>
      </c>
      <c r="K5">
        <v>77700</v>
      </c>
      <c r="L5">
        <v>73815</v>
      </c>
      <c r="M5" s="8">
        <v>46324</v>
      </c>
      <c r="N5">
        <v>3885</v>
      </c>
      <c r="O5">
        <v>0</v>
      </c>
      <c r="R5" s="9">
        <f>IF(A5="","",SUMIFS('Claim lines'!$G:$G,'Claim lines'!$A:$A,A5))</f>
      </c>
      <c r="S5" s="9">
        <f>IF(A5="","",IF(K5&lt;&gt;"",K5,IF(COUNTIF('Schedules'!$B:$B,A5)=0,"",SUMIFS('Schedules'!$F:$F,'Schedules'!$B:$B,A5))))</f>
      </c>
      <c r="T5" s="9">
        <f>IF(A5="","",IF(L5&lt;&gt;"",L5,SUMIFS('Payments'!$D:$D,'Payments'!$B:$B,A5)))</f>
      </c>
      <c r="U5" s="9">
        <f>IF(OR(J5="",S5=""),"",J5-S5)</f>
      </c>
      <c r="V5" s="9">
        <f>IF(A5="","",IF(S5="",J5,S5)-N(T5)-N(N5))</f>
      </c>
      <c r="W5" s="10">
        <f>IF(A5="","",IF(AND(N(T5)&gt;0,N(T5)+N(N5)&gt;=IF(S5="",J5,S5)-0.005),"Paid",IF(AND(S5="",H5&lt;&gt;"",TODAY()&gt;H5),"Schedule date passed: none recorded",IF(AND(I5&lt;&gt;"",TODAY()&gt;I5),"Payment date passed: not paid in full",IF(S5&lt;&gt;"","Scheduled","Open")))))</f>
      </c>
    </row>
    <row r="6" spans="1:23" x14ac:dyDescent="0.25">
      <c r="A6" t="s">
        <v>103</v>
      </c>
      <c r="B6" t="s">
        <v>128</v>
      </c>
      <c r="C6" t="s">
        <v>129</v>
      </c>
      <c r="D6" t="s">
        <v>130</v>
      </c>
      <c r="E6" t="s">
        <v>131</v>
      </c>
      <c r="F6" s="8">
        <v>46326</v>
      </c>
      <c r="G6" s="8">
        <v>46328</v>
      </c>
      <c r="H6" s="8">
        <v>46356</v>
      </c>
      <c r="I6" s="8">
        <v>46356</v>
      </c>
      <c r="J6">
        <v>68020</v>
      </c>
      <c r="R6" s="9">
        <f>IF(A6="","",SUMIFS('Claim lines'!$G:$G,'Claim lines'!$A:$A,A6))</f>
      </c>
      <c r="S6" s="9">
        <f>IF(A6="","",IF(K6&lt;&gt;"",K6,IF(COUNTIF('Schedules'!$B:$B,A6)=0,"",SUMIFS('Schedules'!$F:$F,'Schedules'!$B:$B,A6))))</f>
      </c>
      <c r="T6" s="9">
        <f>IF(A6="","",IF(L6&lt;&gt;"",L6,SUMIFS('Payments'!$D:$D,'Payments'!$B:$B,A6)))</f>
      </c>
      <c r="U6" s="9">
        <f>IF(OR(J6="",S6=""),"",J6-S6)</f>
      </c>
      <c r="V6" s="9">
        <f>IF(A6="","",IF(S6="",J6,S6)-N(T6)-N(N6))</f>
      </c>
      <c r="W6" s="10">
        <f>IF(A6="","",IF(AND(N(T6)&gt;0,N(T6)+N(N6)&gt;=IF(S6="",J6,S6)-0.005),"Paid",IF(AND(S6="",H6&lt;&gt;"",TODAY()&gt;H6),"Schedule date passed: none recorded",IF(AND(I6&lt;&gt;"",TODAY()&gt;I6),"Payment date passed: not paid in full",IF(S6&lt;&gt;"","Scheduled","Open")))))</f>
      </c>
    </row>
    <row r="7" spans="1:23" x14ac:dyDescent="0.25">
      <c r="A7" t="s">
        <v>132</v>
      </c>
      <c r="B7" t="s">
        <v>133</v>
      </c>
      <c r="C7" t="s">
        <v>129</v>
      </c>
      <c r="D7" t="s">
        <v>134</v>
      </c>
      <c r="E7" t="s">
        <v>130</v>
      </c>
      <c r="F7" s="8">
        <v>46265</v>
      </c>
      <c r="G7" s="8">
        <v>46266</v>
      </c>
      <c r="H7" s="8">
        <v>46294</v>
      </c>
      <c r="I7" s="8">
        <v>46294</v>
      </c>
      <c r="J7">
        <v>6000</v>
      </c>
      <c r="Q7" t="s">
        <v>135</v>
      </c>
      <c r="R7" s="9">
        <f>IF(A7="","",SUMIFS('Claim lines'!$G:$G,'Claim lines'!$A:$A,A7))</f>
      </c>
      <c r="S7" s="9">
        <f>IF(A7="","",IF(K7&lt;&gt;"",K7,IF(COUNTIF('Schedules'!$B:$B,A7)=0,"",SUMIFS('Schedules'!$F:$F,'Schedules'!$B:$B,A7))))</f>
      </c>
      <c r="T7" s="9">
        <f>IF(A7="","",IF(L7&lt;&gt;"",L7,SUMIFS('Payments'!$D:$D,'Payments'!$B:$B,A7)))</f>
      </c>
      <c r="U7" s="9">
        <f>IF(OR(J7="",S7=""),"",J7-S7)</f>
      </c>
      <c r="V7" s="9">
        <f>IF(A7="","",IF(S7="",J7,S7)-N(T7)-N(N7))</f>
      </c>
      <c r="W7" s="10">
        <f>IF(A7="","",IF(AND(N(T7)&gt;0,N(T7)+N(N7)&gt;=IF(S7="",J7,S7)-0.005),"Paid",IF(AND(S7="",H7&lt;&gt;"",TODAY()&gt;H7),"Schedule date passed: none recorded",IF(AND(I7&lt;&gt;"",TODAY()&gt;I7),"Payment date passed: not paid in full",IF(S7&lt;&gt;"","Scheduled","Open")))))</f>
      </c>
    </row>
    <row r="8" spans="1:23" x14ac:dyDescent="0.25">
      <c r="A8" t="s">
        <v>136</v>
      </c>
      <c r="B8" t="s">
        <v>133</v>
      </c>
      <c r="C8" t="s">
        <v>129</v>
      </c>
      <c r="D8" t="s">
        <v>137</v>
      </c>
      <c r="E8" t="s">
        <v>130</v>
      </c>
      <c r="F8" s="8">
        <v>46295</v>
      </c>
      <c r="G8" s="8">
        <v>46296</v>
      </c>
      <c r="H8" s="8">
        <v>46325</v>
      </c>
      <c r="I8" s="8">
        <v>46325</v>
      </c>
      <c r="J8">
        <v>24000</v>
      </c>
      <c r="K8">
        <v>22500</v>
      </c>
      <c r="L8">
        <v>21375</v>
      </c>
      <c r="M8" s="8">
        <v>46324</v>
      </c>
      <c r="N8">
        <v>1125</v>
      </c>
      <c r="O8">
        <v>0</v>
      </c>
      <c r="Q8" t="s">
        <v>138</v>
      </c>
      <c r="R8" s="9">
        <f>IF(A8="","",SUMIFS('Claim lines'!$G:$G,'Claim lines'!$A:$A,A8))</f>
      </c>
      <c r="S8" s="9">
        <f>IF(A8="","",IF(K8&lt;&gt;"",K8,IF(COUNTIF('Schedules'!$B:$B,A8)=0,"",SUMIFS('Schedules'!$F:$F,'Schedules'!$B:$B,A8))))</f>
      </c>
      <c r="T8" s="9">
        <f>IF(A8="","",IF(L8&lt;&gt;"",L8,SUMIFS('Payments'!$D:$D,'Payments'!$B:$B,A8)))</f>
      </c>
      <c r="U8" s="9">
        <f>IF(OR(J8="",S8=""),"",J8-S8)</f>
      </c>
      <c r="V8" s="9">
        <f>IF(A8="","",IF(S8="",J8,S8)-N(T8)-N(N8))</f>
      </c>
      <c r="W8" s="10">
        <f>IF(A8="","",IF(AND(N(T8)&gt;0,N(T8)+N(N8)&gt;=IF(S8="",J8,S8)-0.005),"Paid",IF(AND(S8="",H8&lt;&gt;"",TODAY()&gt;H8),"Schedule date passed: none recorded",IF(AND(I8&lt;&gt;"",TODAY()&gt;I8),"Payment date passed: not paid in full",IF(S8&lt;&gt;"","Scheduled","Open")))))</f>
      </c>
    </row>
    <row r="9" spans="1:23" x14ac:dyDescent="0.25">
      <c r="A9" t="s">
        <v>139</v>
      </c>
      <c r="B9" t="s">
        <v>133</v>
      </c>
      <c r="C9" t="s">
        <v>129</v>
      </c>
      <c r="D9" t="s">
        <v>134</v>
      </c>
      <c r="E9" t="s">
        <v>130</v>
      </c>
      <c r="F9" s="8">
        <v>46326</v>
      </c>
      <c r="G9" s="8">
        <v>46328</v>
      </c>
      <c r="H9" s="8">
        <v>46356</v>
      </c>
      <c r="I9" s="8">
        <v>46356</v>
      </c>
      <c r="J9">
        <v>9500</v>
      </c>
      <c r="Q9" t="s">
        <v>135</v>
      </c>
      <c r="R9" s="9">
        <f>IF(A9="","",SUMIFS('Claim lines'!$G:$G,'Claim lines'!$A:$A,A9))</f>
      </c>
      <c r="S9" s="9">
        <f>IF(A9="","",IF(K9&lt;&gt;"",K9,IF(COUNTIF('Schedules'!$B:$B,A9)=0,"",SUMIFS('Schedules'!$F:$F,'Schedules'!$B:$B,A9))))</f>
      </c>
      <c r="T9" s="9">
        <f>IF(A9="","",IF(L9&lt;&gt;"",L9,SUMIFS('Payments'!$D:$D,'Payments'!$B:$B,A9)))</f>
      </c>
      <c r="U9" s="9">
        <f>IF(OR(J9="",S9=""),"",J9-S9)</f>
      </c>
      <c r="V9" s="9">
        <f>IF(A9="","",IF(S9="",J9,S9)-N(T9)-N(N9))</f>
      </c>
      <c r="W9" s="10">
        <f>IF(A9="","",IF(AND(N(T9)&gt;0,N(T9)+N(N9)&gt;=IF(S9="",J9,S9)-0.005),"Paid",IF(AND(S9="",H9&lt;&gt;"",TODAY()&gt;H9),"Schedule date passed: none recorded",IF(AND(I9&lt;&gt;"",TODAY()&gt;I9),"Payment date passed: not paid in full",IF(S9&lt;&gt;"","Scheduled","Open")))))</f>
      </c>
    </row>
    <row r="10" spans="1:23" x14ac:dyDescent="0.25">
      <c r="R10" s="9">
        <f>IF(A10="","",SUMIFS('Claim lines'!$G:$G,'Claim lines'!$A:$A,A10))</f>
      </c>
      <c r="S10" s="9">
        <f>IF(A10="","",IF(K10&lt;&gt;"",K10,IF(COUNTIF('Schedules'!$B:$B,A10)=0,"",SUMIFS('Schedules'!$F:$F,'Schedules'!$B:$B,A10))))</f>
      </c>
      <c r="T10" s="9">
        <f>IF(A10="","",IF(L10&lt;&gt;"",L10,SUMIFS('Payments'!$D:$D,'Payments'!$B:$B,A10)))</f>
      </c>
      <c r="U10" s="9">
        <f>IF(OR(J10="",S10=""),"",J10-S10)</f>
      </c>
      <c r="V10" s="9">
        <f>IF(A10="","",IF(S10="",J10,S10)-N(T10)-N(N10))</f>
      </c>
      <c r="W10" s="10">
        <f>IF(A10="","",IF(AND(N(T10)&gt;0,N(T10)+N(N10)&gt;=IF(S10="",J10,S10)-0.005),"Paid",IF(AND(S10="",H10&lt;&gt;"",TODAY()&gt;H10),"Schedule date passed: none recorded",IF(AND(I10&lt;&gt;"",TODAY()&gt;I10),"Payment date passed: not paid in full",IF(S10&lt;&gt;"","Scheduled","Open")))))</f>
      </c>
    </row>
    <row r="11" spans="1:23" x14ac:dyDescent="0.25">
      <c r="R11" s="9">
        <f>IF(A11="","",SUMIFS('Claim lines'!$G:$G,'Claim lines'!$A:$A,A11))</f>
      </c>
      <c r="S11" s="9">
        <f>IF(A11="","",IF(K11&lt;&gt;"",K11,IF(COUNTIF('Schedules'!$B:$B,A11)=0,"",SUMIFS('Schedules'!$F:$F,'Schedules'!$B:$B,A11))))</f>
      </c>
      <c r="T11" s="9">
        <f>IF(A11="","",IF(L11&lt;&gt;"",L11,SUMIFS('Payments'!$D:$D,'Payments'!$B:$B,A11)))</f>
      </c>
      <c r="U11" s="9">
        <f>IF(OR(J11="",S11=""),"",J11-S11)</f>
      </c>
      <c r="V11" s="9">
        <f>IF(A11="","",IF(S11="",J11,S11)-N(T11)-N(N11))</f>
      </c>
      <c r="W11" s="10">
        <f>IF(A11="","",IF(AND(N(T11)&gt;0,N(T11)+N(N11)&gt;=IF(S11="",J11,S11)-0.005),"Paid",IF(AND(S11="",H11&lt;&gt;"",TODAY()&gt;H11),"Schedule date passed: none recorded",IF(AND(I11&lt;&gt;"",TODAY()&gt;I11),"Payment date passed: not paid in full",IF(S11&lt;&gt;"","Scheduled","Open")))))</f>
      </c>
    </row>
    <row r="12" spans="1:23" x14ac:dyDescent="0.25">
      <c r="R12" s="9">
        <f>IF(A12="","",SUMIFS('Claim lines'!$G:$G,'Claim lines'!$A:$A,A12))</f>
      </c>
      <c r="S12" s="9">
        <f>IF(A12="","",IF(K12&lt;&gt;"",K12,IF(COUNTIF('Schedules'!$B:$B,A12)=0,"",SUMIFS('Schedules'!$F:$F,'Schedules'!$B:$B,A12))))</f>
      </c>
      <c r="T12" s="9">
        <f>IF(A12="","",IF(L12&lt;&gt;"",L12,SUMIFS('Payments'!$D:$D,'Payments'!$B:$B,A12)))</f>
      </c>
      <c r="U12" s="9">
        <f>IF(OR(J12="",S12=""),"",J12-S12)</f>
      </c>
      <c r="V12" s="9">
        <f>IF(A12="","",IF(S12="",J12,S12)-N(T12)-N(N12))</f>
      </c>
      <c r="W12" s="10">
        <f>IF(A12="","",IF(AND(N(T12)&gt;0,N(T12)+N(N12)&gt;=IF(S12="",J12,S12)-0.005),"Paid",IF(AND(S12="",H12&lt;&gt;"",TODAY()&gt;H12),"Schedule date passed: none recorded",IF(AND(I12&lt;&gt;"",TODAY()&gt;I12),"Payment date passed: not paid in full",IF(S12&lt;&gt;"","Scheduled","Open")))))</f>
      </c>
    </row>
    <row r="13" spans="1:23" x14ac:dyDescent="0.25">
      <c r="R13" s="9">
        <f>IF(A13="","",SUMIFS('Claim lines'!$G:$G,'Claim lines'!$A:$A,A13))</f>
      </c>
      <c r="S13" s="9">
        <f>IF(A13="","",IF(K13&lt;&gt;"",K13,IF(COUNTIF('Schedules'!$B:$B,A13)=0,"",SUMIFS('Schedules'!$F:$F,'Schedules'!$B:$B,A13))))</f>
      </c>
      <c r="T13" s="9">
        <f>IF(A13="","",IF(L13&lt;&gt;"",L13,SUMIFS('Payments'!$D:$D,'Payments'!$B:$B,A13)))</f>
      </c>
      <c r="U13" s="9">
        <f>IF(OR(J13="",S13=""),"",J13-S13)</f>
      </c>
      <c r="V13" s="9">
        <f>IF(A13="","",IF(S13="",J13,S13)-N(T13)-N(N13))</f>
      </c>
      <c r="W13" s="10">
        <f>IF(A13="","",IF(AND(N(T13)&gt;0,N(T13)+N(N13)&gt;=IF(S13="",J13,S13)-0.005),"Paid",IF(AND(S13="",H13&lt;&gt;"",TODAY()&gt;H13),"Schedule date passed: none recorded",IF(AND(I13&lt;&gt;"",TODAY()&gt;I13),"Payment date passed: not paid in full",IF(S13&lt;&gt;"","Scheduled","Open")))))</f>
      </c>
    </row>
    <row r="14" spans="1:23" x14ac:dyDescent="0.25">
      <c r="R14" s="9">
        <f>IF(A14="","",SUMIFS('Claim lines'!$G:$G,'Claim lines'!$A:$A,A14))</f>
      </c>
      <c r="S14" s="9">
        <f>IF(A14="","",IF(K14&lt;&gt;"",K14,IF(COUNTIF('Schedules'!$B:$B,A14)=0,"",SUMIFS('Schedules'!$F:$F,'Schedules'!$B:$B,A14))))</f>
      </c>
      <c r="T14" s="9">
        <f>IF(A14="","",IF(L14&lt;&gt;"",L14,SUMIFS('Payments'!$D:$D,'Payments'!$B:$B,A14)))</f>
      </c>
      <c r="U14" s="9">
        <f>IF(OR(J14="",S14=""),"",J14-S14)</f>
      </c>
      <c r="V14" s="9">
        <f>IF(A14="","",IF(S14="",J14,S14)-N(T14)-N(N14))</f>
      </c>
      <c r="W14" s="10">
        <f>IF(A14="","",IF(AND(N(T14)&gt;0,N(T14)+N(N14)&gt;=IF(S14="",J14,S14)-0.005),"Paid",IF(AND(S14="",H14&lt;&gt;"",TODAY()&gt;H14),"Schedule date passed: none recorded",IF(AND(I14&lt;&gt;"",TODAY()&gt;I14),"Payment date passed: not paid in full",IF(S14&lt;&gt;"","Scheduled","Open")))))</f>
      </c>
    </row>
    <row r="15" spans="1:23" x14ac:dyDescent="0.25">
      <c r="R15" s="9">
        <f>IF(A15="","",SUMIFS('Claim lines'!$G:$G,'Claim lines'!$A:$A,A15))</f>
      </c>
      <c r="S15" s="9">
        <f>IF(A15="","",IF(K15&lt;&gt;"",K15,IF(COUNTIF('Schedules'!$B:$B,A15)=0,"",SUMIFS('Schedules'!$F:$F,'Schedules'!$B:$B,A15))))</f>
      </c>
      <c r="T15" s="9">
        <f>IF(A15="","",IF(L15&lt;&gt;"",L15,SUMIFS('Payments'!$D:$D,'Payments'!$B:$B,A15)))</f>
      </c>
      <c r="U15" s="9">
        <f>IF(OR(J15="",S15=""),"",J15-S15)</f>
      </c>
      <c r="V15" s="9">
        <f>IF(A15="","",IF(S15="",J15,S15)-N(T15)-N(N15))</f>
      </c>
      <c r="W15" s="10">
        <f>IF(A15="","",IF(AND(N(T15)&gt;0,N(T15)+N(N15)&gt;=IF(S15="",J15,S15)-0.005),"Paid",IF(AND(S15="",H15&lt;&gt;"",TODAY()&gt;H15),"Schedule date passed: none recorded",IF(AND(I15&lt;&gt;"",TODAY()&gt;I15),"Payment date passed: not paid in full",IF(S15&lt;&gt;"","Scheduled","Open")))))</f>
      </c>
    </row>
    <row r="16" spans="1:23" x14ac:dyDescent="0.25">
      <c r="R16" s="9">
        <f>IF(A16="","",SUMIFS('Claim lines'!$G:$G,'Claim lines'!$A:$A,A16))</f>
      </c>
      <c r="S16" s="9">
        <f>IF(A16="","",IF(K16&lt;&gt;"",K16,IF(COUNTIF('Schedules'!$B:$B,A16)=0,"",SUMIFS('Schedules'!$F:$F,'Schedules'!$B:$B,A16))))</f>
      </c>
      <c r="T16" s="9">
        <f>IF(A16="","",IF(L16&lt;&gt;"",L16,SUMIFS('Payments'!$D:$D,'Payments'!$B:$B,A16)))</f>
      </c>
      <c r="U16" s="9">
        <f>IF(OR(J16="",S16=""),"",J16-S16)</f>
      </c>
      <c r="V16" s="9">
        <f>IF(A16="","",IF(S16="",J16,S16)-N(T16)-N(N16))</f>
      </c>
      <c r="W16" s="10">
        <f>IF(A16="","",IF(AND(N(T16)&gt;0,N(T16)+N(N16)&gt;=IF(S16="",J16,S16)-0.005),"Paid",IF(AND(S16="",H16&lt;&gt;"",TODAY()&gt;H16),"Schedule date passed: none recorded",IF(AND(I16&lt;&gt;"",TODAY()&gt;I16),"Payment date passed: not paid in full",IF(S16&lt;&gt;"","Scheduled","Open")))))</f>
      </c>
    </row>
    <row r="17" spans="1:23" x14ac:dyDescent="0.25">
      <c r="R17" s="9">
        <f>IF(A17="","",SUMIFS('Claim lines'!$G:$G,'Claim lines'!$A:$A,A17))</f>
      </c>
      <c r="S17" s="9">
        <f>IF(A17="","",IF(K17&lt;&gt;"",K17,IF(COUNTIF('Schedules'!$B:$B,A17)=0,"",SUMIFS('Schedules'!$F:$F,'Schedules'!$B:$B,A17))))</f>
      </c>
      <c r="T17" s="9">
        <f>IF(A17="","",IF(L17&lt;&gt;"",L17,SUMIFS('Payments'!$D:$D,'Payments'!$B:$B,A17)))</f>
      </c>
      <c r="U17" s="9">
        <f>IF(OR(J17="",S17=""),"",J17-S17)</f>
      </c>
      <c r="V17" s="9">
        <f>IF(A17="","",IF(S17="",J17,S17)-N(T17)-N(N17))</f>
      </c>
      <c r="W17" s="10">
        <f>IF(A17="","",IF(AND(N(T17)&gt;0,N(T17)+N(N17)&gt;=IF(S17="",J17,S17)-0.005),"Paid",IF(AND(S17="",H17&lt;&gt;"",TODAY()&gt;H17),"Schedule date passed: none recorded",IF(AND(I17&lt;&gt;"",TODAY()&gt;I17),"Payment date passed: not paid in full",IF(S17&lt;&gt;"","Scheduled","Open")))))</f>
      </c>
    </row>
    <row r="18" spans="1:23" x14ac:dyDescent="0.25">
      <c r="R18" s="9">
        <f>IF(A18="","",SUMIFS('Claim lines'!$G:$G,'Claim lines'!$A:$A,A18))</f>
      </c>
      <c r="S18" s="9">
        <f>IF(A18="","",IF(K18&lt;&gt;"",K18,IF(COUNTIF('Schedules'!$B:$B,A18)=0,"",SUMIFS('Schedules'!$F:$F,'Schedules'!$B:$B,A18))))</f>
      </c>
      <c r="T18" s="9">
        <f>IF(A18="","",IF(L18&lt;&gt;"",L18,SUMIFS('Payments'!$D:$D,'Payments'!$B:$B,A18)))</f>
      </c>
      <c r="U18" s="9">
        <f>IF(OR(J18="",S18=""),"",J18-S18)</f>
      </c>
      <c r="V18" s="9">
        <f>IF(A18="","",IF(S18="",J18,S18)-N(T18)-N(N18))</f>
      </c>
      <c r="W18" s="10">
        <f>IF(A18="","",IF(AND(N(T18)&gt;0,N(T18)+N(N18)&gt;=IF(S18="",J18,S18)-0.005),"Paid",IF(AND(S18="",H18&lt;&gt;"",TODAY()&gt;H18),"Schedule date passed: none recorded",IF(AND(I18&lt;&gt;"",TODAY()&gt;I18),"Payment date passed: not paid in full",IF(S18&lt;&gt;"","Scheduled","Open")))))</f>
      </c>
    </row>
    <row r="19" spans="1:23" x14ac:dyDescent="0.25">
      <c r="R19" s="9">
        <f>IF(A19="","",SUMIFS('Claim lines'!$G:$G,'Claim lines'!$A:$A,A19))</f>
      </c>
      <c r="S19" s="9">
        <f>IF(A19="","",IF(K19&lt;&gt;"",K19,IF(COUNTIF('Schedules'!$B:$B,A19)=0,"",SUMIFS('Schedules'!$F:$F,'Schedules'!$B:$B,A19))))</f>
      </c>
      <c r="T19" s="9">
        <f>IF(A19="","",IF(L19&lt;&gt;"",L19,SUMIFS('Payments'!$D:$D,'Payments'!$B:$B,A19)))</f>
      </c>
      <c r="U19" s="9">
        <f>IF(OR(J19="",S19=""),"",J19-S19)</f>
      </c>
      <c r="V19" s="9">
        <f>IF(A19="","",IF(S19="",J19,S19)-N(T19)-N(N19))</f>
      </c>
      <c r="W19" s="10">
        <f>IF(A19="","",IF(AND(N(T19)&gt;0,N(T19)+N(N19)&gt;=IF(S19="",J19,S19)-0.005),"Paid",IF(AND(S19="",H19&lt;&gt;"",TODAY()&gt;H19),"Schedule date passed: none recorded",IF(AND(I19&lt;&gt;"",TODAY()&gt;I19),"Payment date passed: not paid in full",IF(S19&lt;&gt;"","Scheduled","Open")))))</f>
      </c>
    </row>
    <row r="20" spans="1:23" x14ac:dyDescent="0.25">
      <c r="R20" s="9">
        <f>IF(A20="","",SUMIFS('Claim lines'!$G:$G,'Claim lines'!$A:$A,A20))</f>
      </c>
      <c r="S20" s="9">
        <f>IF(A20="","",IF(K20&lt;&gt;"",K20,IF(COUNTIF('Schedules'!$B:$B,A20)=0,"",SUMIFS('Schedules'!$F:$F,'Schedules'!$B:$B,A20))))</f>
      </c>
      <c r="T20" s="9">
        <f>IF(A20="","",IF(L20&lt;&gt;"",L20,SUMIFS('Payments'!$D:$D,'Payments'!$B:$B,A20)))</f>
      </c>
      <c r="U20" s="9">
        <f>IF(OR(J20="",S20=""),"",J20-S20)</f>
      </c>
      <c r="V20" s="9">
        <f>IF(A20="","",IF(S20="",J20,S20)-N(T20)-N(N20))</f>
      </c>
      <c r="W20" s="10">
        <f>IF(A20="","",IF(AND(N(T20)&gt;0,N(T20)+N(N20)&gt;=IF(S20="",J20,S20)-0.005),"Paid",IF(AND(S20="",H20&lt;&gt;"",TODAY()&gt;H20),"Schedule date passed: none recorded",IF(AND(I20&lt;&gt;"",TODAY()&gt;I20),"Payment date passed: not paid in full",IF(S20&lt;&gt;"","Scheduled","Open")))))</f>
      </c>
    </row>
    <row r="21" spans="1:23" x14ac:dyDescent="0.25">
      <c r="R21" s="9">
        <f>IF(A21="","",SUMIFS('Claim lines'!$G:$G,'Claim lines'!$A:$A,A21))</f>
      </c>
      <c r="S21" s="9">
        <f>IF(A21="","",IF(K21&lt;&gt;"",K21,IF(COUNTIF('Schedules'!$B:$B,A21)=0,"",SUMIFS('Schedules'!$F:$F,'Schedules'!$B:$B,A21))))</f>
      </c>
      <c r="T21" s="9">
        <f>IF(A21="","",IF(L21&lt;&gt;"",L21,SUMIFS('Payments'!$D:$D,'Payments'!$B:$B,A21)))</f>
      </c>
      <c r="U21" s="9">
        <f>IF(OR(J21="",S21=""),"",J21-S21)</f>
      </c>
      <c r="V21" s="9">
        <f>IF(A21="","",IF(S21="",J21,S21)-N(T21)-N(N21))</f>
      </c>
      <c r="W21" s="10">
        <f>IF(A21="","",IF(AND(N(T21)&gt;0,N(T21)+N(N21)&gt;=IF(S21="",J21,S21)-0.005),"Paid",IF(AND(S21="",H21&lt;&gt;"",TODAY()&gt;H21),"Schedule date passed: none recorded",IF(AND(I21&lt;&gt;"",TODAY()&gt;I21),"Payment date passed: not paid in full",IF(S21&lt;&gt;"","Scheduled","Open")))))</f>
      </c>
    </row>
    <row r="22" spans="1:23" x14ac:dyDescent="0.25">
      <c r="R22" s="9">
        <f>IF(A22="","",SUMIFS('Claim lines'!$G:$G,'Claim lines'!$A:$A,A22))</f>
      </c>
      <c r="S22" s="9">
        <f>IF(A22="","",IF(K22&lt;&gt;"",K22,IF(COUNTIF('Schedules'!$B:$B,A22)=0,"",SUMIFS('Schedules'!$F:$F,'Schedules'!$B:$B,A22))))</f>
      </c>
      <c r="T22" s="9">
        <f>IF(A22="","",IF(L22&lt;&gt;"",L22,SUMIFS('Payments'!$D:$D,'Payments'!$B:$B,A22)))</f>
      </c>
      <c r="U22" s="9">
        <f>IF(OR(J22="",S22=""),"",J22-S22)</f>
      </c>
      <c r="V22" s="9">
        <f>IF(A22="","",IF(S22="",J22,S22)-N(T22)-N(N22))</f>
      </c>
      <c r="W22" s="10">
        <f>IF(A22="","",IF(AND(N(T22)&gt;0,N(T22)+N(N22)&gt;=IF(S22="",J22,S22)-0.005),"Paid",IF(AND(S22="",H22&lt;&gt;"",TODAY()&gt;H22),"Schedule date passed: none recorded",IF(AND(I22&lt;&gt;"",TODAY()&gt;I22),"Payment date passed: not paid in full",IF(S22&lt;&gt;"","Scheduled","Open")))))</f>
      </c>
    </row>
    <row r="23" spans="1:23" x14ac:dyDescent="0.25">
      <c r="R23" s="9">
        <f>IF(A23="","",SUMIFS('Claim lines'!$G:$G,'Claim lines'!$A:$A,A23))</f>
      </c>
      <c r="S23" s="9">
        <f>IF(A23="","",IF(K23&lt;&gt;"",K23,IF(COUNTIF('Schedules'!$B:$B,A23)=0,"",SUMIFS('Schedules'!$F:$F,'Schedules'!$B:$B,A23))))</f>
      </c>
      <c r="T23" s="9">
        <f>IF(A23="","",IF(L23&lt;&gt;"",L23,SUMIFS('Payments'!$D:$D,'Payments'!$B:$B,A23)))</f>
      </c>
      <c r="U23" s="9">
        <f>IF(OR(J23="",S23=""),"",J23-S23)</f>
      </c>
      <c r="V23" s="9">
        <f>IF(A23="","",IF(S23="",J23,S23)-N(T23)-N(N23))</f>
      </c>
      <c r="W23" s="10">
        <f>IF(A23="","",IF(AND(N(T23)&gt;0,N(T23)+N(N23)&gt;=IF(S23="",J23,S23)-0.005),"Paid",IF(AND(S23="",H23&lt;&gt;"",TODAY()&gt;H23),"Schedule date passed: none recorded",IF(AND(I23&lt;&gt;"",TODAY()&gt;I23),"Payment date passed: not paid in full",IF(S23&lt;&gt;"","Scheduled","Open")))))</f>
      </c>
    </row>
    <row r="24" spans="1:23" x14ac:dyDescent="0.25">
      <c r="R24" s="9">
        <f>IF(A24="","",SUMIFS('Claim lines'!$G:$G,'Claim lines'!$A:$A,A24))</f>
      </c>
      <c r="S24" s="9">
        <f>IF(A24="","",IF(K24&lt;&gt;"",K24,IF(COUNTIF('Schedules'!$B:$B,A24)=0,"",SUMIFS('Schedules'!$F:$F,'Schedules'!$B:$B,A24))))</f>
      </c>
      <c r="T24" s="9">
        <f>IF(A24="","",IF(L24&lt;&gt;"",L24,SUMIFS('Payments'!$D:$D,'Payments'!$B:$B,A24)))</f>
      </c>
      <c r="U24" s="9">
        <f>IF(OR(J24="",S24=""),"",J24-S24)</f>
      </c>
      <c r="V24" s="9">
        <f>IF(A24="","",IF(S24="",J24,S24)-N(T24)-N(N24))</f>
      </c>
      <c r="W24" s="10">
        <f>IF(A24="","",IF(AND(N(T24)&gt;0,N(T24)+N(N24)&gt;=IF(S24="",J24,S24)-0.005),"Paid",IF(AND(S24="",H24&lt;&gt;"",TODAY()&gt;H24),"Schedule date passed: none recorded",IF(AND(I24&lt;&gt;"",TODAY()&gt;I24),"Payment date passed: not paid in full",IF(S24&lt;&gt;"","Scheduled","Open")))))</f>
      </c>
    </row>
    <row r="25" spans="1:23" x14ac:dyDescent="0.25">
      <c r="R25" s="9">
        <f>IF(A25="","",SUMIFS('Claim lines'!$G:$G,'Claim lines'!$A:$A,A25))</f>
      </c>
      <c r="S25" s="9">
        <f>IF(A25="","",IF(K25&lt;&gt;"",K25,IF(COUNTIF('Schedules'!$B:$B,A25)=0,"",SUMIFS('Schedules'!$F:$F,'Schedules'!$B:$B,A25))))</f>
      </c>
      <c r="T25" s="9">
        <f>IF(A25="","",IF(L25&lt;&gt;"",L25,SUMIFS('Payments'!$D:$D,'Payments'!$B:$B,A25)))</f>
      </c>
      <c r="U25" s="9">
        <f>IF(OR(J25="",S25=""),"",J25-S25)</f>
      </c>
      <c r="V25" s="9">
        <f>IF(A25="","",IF(S25="",J25,S25)-N(T25)-N(N25))</f>
      </c>
      <c r="W25" s="10">
        <f>IF(A25="","",IF(AND(N(T25)&gt;0,N(T25)+N(N25)&gt;=IF(S25="",J25,S25)-0.005),"Paid",IF(AND(S25="",H25&lt;&gt;"",TODAY()&gt;H25),"Schedule date passed: none recorded",IF(AND(I25&lt;&gt;"",TODAY()&gt;I25),"Payment date passed: not paid in full",IF(S25&lt;&gt;"","Scheduled","Open")))))</f>
      </c>
    </row>
    <row r="26" spans="1:23" x14ac:dyDescent="0.25">
      <c r="R26" s="9">
        <f>IF(A26="","",SUMIFS('Claim lines'!$G:$G,'Claim lines'!$A:$A,A26))</f>
      </c>
      <c r="S26" s="9">
        <f>IF(A26="","",IF(K26&lt;&gt;"",K26,IF(COUNTIF('Schedules'!$B:$B,A26)=0,"",SUMIFS('Schedules'!$F:$F,'Schedules'!$B:$B,A26))))</f>
      </c>
      <c r="T26" s="9">
        <f>IF(A26="","",IF(L26&lt;&gt;"",L26,SUMIFS('Payments'!$D:$D,'Payments'!$B:$B,A26)))</f>
      </c>
      <c r="U26" s="9">
        <f>IF(OR(J26="",S26=""),"",J26-S26)</f>
      </c>
      <c r="V26" s="9">
        <f>IF(A26="","",IF(S26="",J26,S26)-N(T26)-N(N26))</f>
      </c>
      <c r="W26" s="10">
        <f>IF(A26="","",IF(AND(N(T26)&gt;0,N(T26)+N(N26)&gt;=IF(S26="",J26,S26)-0.005),"Paid",IF(AND(S26="",H26&lt;&gt;"",TODAY()&gt;H26),"Schedule date passed: none recorded",IF(AND(I26&lt;&gt;"",TODAY()&gt;I26),"Payment date passed: not paid in full",IF(S26&lt;&gt;"","Scheduled","Open")))))</f>
      </c>
    </row>
    <row r="27" spans="1:23" x14ac:dyDescent="0.25">
      <c r="R27" s="9">
        <f>IF(A27="","",SUMIFS('Claim lines'!$G:$G,'Claim lines'!$A:$A,A27))</f>
      </c>
      <c r="S27" s="9">
        <f>IF(A27="","",IF(K27&lt;&gt;"",K27,IF(COUNTIF('Schedules'!$B:$B,A27)=0,"",SUMIFS('Schedules'!$F:$F,'Schedules'!$B:$B,A27))))</f>
      </c>
      <c r="T27" s="9">
        <f>IF(A27="","",IF(L27&lt;&gt;"",L27,SUMIFS('Payments'!$D:$D,'Payments'!$B:$B,A27)))</f>
      </c>
      <c r="U27" s="9">
        <f>IF(OR(J27="",S27=""),"",J27-S27)</f>
      </c>
      <c r="V27" s="9">
        <f>IF(A27="","",IF(S27="",J27,S27)-N(T27)-N(N27))</f>
      </c>
      <c r="W27" s="10">
        <f>IF(A27="","",IF(AND(N(T27)&gt;0,N(T27)+N(N27)&gt;=IF(S27="",J27,S27)-0.005),"Paid",IF(AND(S27="",H27&lt;&gt;"",TODAY()&gt;H27),"Schedule date passed: none recorded",IF(AND(I27&lt;&gt;"",TODAY()&gt;I27),"Payment date passed: not paid in full",IF(S27&lt;&gt;"","Scheduled","Open")))))</f>
      </c>
    </row>
    <row r="28" spans="1:23" x14ac:dyDescent="0.25">
      <c r="R28" s="9">
        <f>IF(A28="","",SUMIFS('Claim lines'!$G:$G,'Claim lines'!$A:$A,A28))</f>
      </c>
      <c r="S28" s="9">
        <f>IF(A28="","",IF(K28&lt;&gt;"",K28,IF(COUNTIF('Schedules'!$B:$B,A28)=0,"",SUMIFS('Schedules'!$F:$F,'Schedules'!$B:$B,A28))))</f>
      </c>
      <c r="T28" s="9">
        <f>IF(A28="","",IF(L28&lt;&gt;"",L28,SUMIFS('Payments'!$D:$D,'Payments'!$B:$B,A28)))</f>
      </c>
      <c r="U28" s="9">
        <f>IF(OR(J28="",S28=""),"",J28-S28)</f>
      </c>
      <c r="V28" s="9">
        <f>IF(A28="","",IF(S28="",J28,S28)-N(T28)-N(N28))</f>
      </c>
      <c r="W28" s="10">
        <f>IF(A28="","",IF(AND(N(T28)&gt;0,N(T28)+N(N28)&gt;=IF(S28="",J28,S28)-0.005),"Paid",IF(AND(S28="",H28&lt;&gt;"",TODAY()&gt;H28),"Schedule date passed: none recorded",IF(AND(I28&lt;&gt;"",TODAY()&gt;I28),"Payment date passed: not paid in full",IF(S28&lt;&gt;"","Scheduled","Open")))))</f>
      </c>
    </row>
    <row r="29" spans="1:23" x14ac:dyDescent="0.25">
      <c r="R29" s="9">
        <f>IF(A29="","",SUMIFS('Claim lines'!$G:$G,'Claim lines'!$A:$A,A29))</f>
      </c>
      <c r="S29" s="9">
        <f>IF(A29="","",IF(K29&lt;&gt;"",K29,IF(COUNTIF('Schedules'!$B:$B,A29)=0,"",SUMIFS('Schedules'!$F:$F,'Schedules'!$B:$B,A29))))</f>
      </c>
      <c r="T29" s="9">
        <f>IF(A29="","",IF(L29&lt;&gt;"",L29,SUMIFS('Payments'!$D:$D,'Payments'!$B:$B,A29)))</f>
      </c>
      <c r="U29" s="9">
        <f>IF(OR(J29="",S29=""),"",J29-S29)</f>
      </c>
      <c r="V29" s="9">
        <f>IF(A29="","",IF(S29="",J29,S29)-N(T29)-N(N29))</f>
      </c>
      <c r="W29" s="10">
        <f>IF(A29="","",IF(AND(N(T29)&gt;0,N(T29)+N(N29)&gt;=IF(S29="",J29,S29)-0.005),"Paid",IF(AND(S29="",H29&lt;&gt;"",TODAY()&gt;H29),"Schedule date passed: none recorded",IF(AND(I29&lt;&gt;"",TODAY()&gt;I29),"Payment date passed: not paid in full",IF(S29&lt;&gt;"","Scheduled","Open")))))</f>
      </c>
    </row>
    <row r="30" spans="1:23" x14ac:dyDescent="0.25">
      <c r="R30" s="9">
        <f>IF(A30="","",SUMIFS('Claim lines'!$G:$G,'Claim lines'!$A:$A,A30))</f>
      </c>
      <c r="S30" s="9">
        <f>IF(A30="","",IF(K30&lt;&gt;"",K30,IF(COUNTIF('Schedules'!$B:$B,A30)=0,"",SUMIFS('Schedules'!$F:$F,'Schedules'!$B:$B,A30))))</f>
      </c>
      <c r="T30" s="9">
        <f>IF(A30="","",IF(L30&lt;&gt;"",L30,SUMIFS('Payments'!$D:$D,'Payments'!$B:$B,A30)))</f>
      </c>
      <c r="U30" s="9">
        <f>IF(OR(J30="",S30=""),"",J30-S30)</f>
      </c>
      <c r="V30" s="9">
        <f>IF(A30="","",IF(S30="",J30,S30)-N(T30)-N(N30))</f>
      </c>
      <c r="W30" s="10">
        <f>IF(A30="","",IF(AND(N(T30)&gt;0,N(T30)+N(N30)&gt;=IF(S30="",J30,S30)-0.005),"Paid",IF(AND(S30="",H30&lt;&gt;"",TODAY()&gt;H30),"Schedule date passed: none recorded",IF(AND(I30&lt;&gt;"",TODAY()&gt;I30),"Payment date passed: not paid in full",IF(S30&lt;&gt;"","Scheduled","Open")))))</f>
      </c>
    </row>
    <row r="31" spans="1:23" x14ac:dyDescent="0.25">
      <c r="R31" s="9">
        <f>IF(A31="","",SUMIFS('Claim lines'!$G:$G,'Claim lines'!$A:$A,A31))</f>
      </c>
      <c r="S31" s="9">
        <f>IF(A31="","",IF(K31&lt;&gt;"",K31,IF(COUNTIF('Schedules'!$B:$B,A31)=0,"",SUMIFS('Schedules'!$F:$F,'Schedules'!$B:$B,A31))))</f>
      </c>
      <c r="T31" s="9">
        <f>IF(A31="","",IF(L31&lt;&gt;"",L31,SUMIFS('Payments'!$D:$D,'Payments'!$B:$B,A31)))</f>
      </c>
      <c r="U31" s="9">
        <f>IF(OR(J31="",S31=""),"",J31-S31)</f>
      </c>
      <c r="V31" s="9">
        <f>IF(A31="","",IF(S31="",J31,S31)-N(T31)-N(N31))</f>
      </c>
      <c r="W31" s="10">
        <f>IF(A31="","",IF(AND(N(T31)&gt;0,N(T31)+N(N31)&gt;=IF(S31="",J31,S31)-0.005),"Paid",IF(AND(S31="",H31&lt;&gt;"",TODAY()&gt;H31),"Schedule date passed: none recorded",IF(AND(I31&lt;&gt;"",TODAY()&gt;I31),"Payment date passed: not paid in full",IF(S31&lt;&gt;"","Scheduled","Open")))))</f>
      </c>
    </row>
    <row r="32" spans="1:23" x14ac:dyDescent="0.25">
      <c r="R32" s="9">
        <f>IF(A32="","",SUMIFS('Claim lines'!$G:$G,'Claim lines'!$A:$A,A32))</f>
      </c>
      <c r="S32" s="9">
        <f>IF(A32="","",IF(K32&lt;&gt;"",K32,IF(COUNTIF('Schedules'!$B:$B,A32)=0,"",SUMIFS('Schedules'!$F:$F,'Schedules'!$B:$B,A32))))</f>
      </c>
      <c r="T32" s="9">
        <f>IF(A32="","",IF(L32&lt;&gt;"",L32,SUMIFS('Payments'!$D:$D,'Payments'!$B:$B,A32)))</f>
      </c>
      <c r="U32" s="9">
        <f>IF(OR(J32="",S32=""),"",J32-S32)</f>
      </c>
      <c r="V32" s="9">
        <f>IF(A32="","",IF(S32="",J32,S32)-N(T32)-N(N32))</f>
      </c>
      <c r="W32" s="10">
        <f>IF(A32="","",IF(AND(N(T32)&gt;0,N(T32)+N(N32)&gt;=IF(S32="",J32,S32)-0.005),"Paid",IF(AND(S32="",H32&lt;&gt;"",TODAY()&gt;H32),"Schedule date passed: none recorded",IF(AND(I32&lt;&gt;"",TODAY()&gt;I32),"Payment date passed: not paid in full",IF(S32&lt;&gt;"","Scheduled","Open")))))</f>
      </c>
    </row>
    <row r="33" spans="1:23" x14ac:dyDescent="0.25">
      <c r="R33" s="9">
        <f>IF(A33="","",SUMIFS('Claim lines'!$G:$G,'Claim lines'!$A:$A,A33))</f>
      </c>
      <c r="S33" s="9">
        <f>IF(A33="","",IF(K33&lt;&gt;"",K33,IF(COUNTIF('Schedules'!$B:$B,A33)=0,"",SUMIFS('Schedules'!$F:$F,'Schedules'!$B:$B,A33))))</f>
      </c>
      <c r="T33" s="9">
        <f>IF(A33="","",IF(L33&lt;&gt;"",L33,SUMIFS('Payments'!$D:$D,'Payments'!$B:$B,A33)))</f>
      </c>
      <c r="U33" s="9">
        <f>IF(OR(J33="",S33=""),"",J33-S33)</f>
      </c>
      <c r="V33" s="9">
        <f>IF(A33="","",IF(S33="",J33,S33)-N(T33)-N(N33))</f>
      </c>
      <c r="W33" s="10">
        <f>IF(A33="","",IF(AND(N(T33)&gt;0,N(T33)+N(N33)&gt;=IF(S33="",J33,S33)-0.005),"Paid",IF(AND(S33="",H33&lt;&gt;"",TODAY()&gt;H33),"Schedule date passed: none recorded",IF(AND(I33&lt;&gt;"",TODAY()&gt;I33),"Payment date passed: not paid in full",IF(S33&lt;&gt;"","Scheduled","Open")))))</f>
      </c>
    </row>
    <row r="34" spans="1:23" x14ac:dyDescent="0.25">
      <c r="R34" s="9">
        <f>IF(A34="","",SUMIFS('Claim lines'!$G:$G,'Claim lines'!$A:$A,A34))</f>
      </c>
      <c r="S34" s="9">
        <f>IF(A34="","",IF(K34&lt;&gt;"",K34,IF(COUNTIF('Schedules'!$B:$B,A34)=0,"",SUMIFS('Schedules'!$F:$F,'Schedules'!$B:$B,A34))))</f>
      </c>
      <c r="T34" s="9">
        <f>IF(A34="","",IF(L34&lt;&gt;"",L34,SUMIFS('Payments'!$D:$D,'Payments'!$B:$B,A34)))</f>
      </c>
      <c r="U34" s="9">
        <f>IF(OR(J34="",S34=""),"",J34-S34)</f>
      </c>
      <c r="V34" s="9">
        <f>IF(A34="","",IF(S34="",J34,S34)-N(T34)-N(N34))</f>
      </c>
      <c r="W34" s="10">
        <f>IF(A34="","",IF(AND(N(T34)&gt;0,N(T34)+N(N34)&gt;=IF(S34="",J34,S34)-0.005),"Paid",IF(AND(S34="",H34&lt;&gt;"",TODAY()&gt;H34),"Schedule date passed: none recorded",IF(AND(I34&lt;&gt;"",TODAY()&gt;I34),"Payment date passed: not paid in full",IF(S34&lt;&gt;"","Scheduled","Open")))))</f>
      </c>
    </row>
    <row r="35" spans="1:23" x14ac:dyDescent="0.25">
      <c r="R35" s="9">
        <f>IF(A35="","",SUMIFS('Claim lines'!$G:$G,'Claim lines'!$A:$A,A35))</f>
      </c>
      <c r="S35" s="9">
        <f>IF(A35="","",IF(K35&lt;&gt;"",K35,IF(COUNTIF('Schedules'!$B:$B,A35)=0,"",SUMIFS('Schedules'!$F:$F,'Schedules'!$B:$B,A35))))</f>
      </c>
      <c r="T35" s="9">
        <f>IF(A35="","",IF(L35&lt;&gt;"",L35,SUMIFS('Payments'!$D:$D,'Payments'!$B:$B,A35)))</f>
      </c>
      <c r="U35" s="9">
        <f>IF(OR(J35="",S35=""),"",J35-S35)</f>
      </c>
      <c r="V35" s="9">
        <f>IF(A35="","",IF(S35="",J35,S35)-N(T35)-N(N35))</f>
      </c>
      <c r="W35" s="10">
        <f>IF(A35="","",IF(AND(N(T35)&gt;0,N(T35)+N(N35)&gt;=IF(S35="",J35,S35)-0.005),"Paid",IF(AND(S35="",H35&lt;&gt;"",TODAY()&gt;H35),"Schedule date passed: none recorded",IF(AND(I35&lt;&gt;"",TODAY()&gt;I35),"Payment date passed: not paid in full",IF(S35&lt;&gt;"","Scheduled","Open")))))</f>
      </c>
    </row>
    <row r="36" spans="1:23" x14ac:dyDescent="0.25">
      <c r="R36" s="9">
        <f>IF(A36="","",SUMIFS('Claim lines'!$G:$G,'Claim lines'!$A:$A,A36))</f>
      </c>
      <c r="S36" s="9">
        <f>IF(A36="","",IF(K36&lt;&gt;"",K36,IF(COUNTIF('Schedules'!$B:$B,A36)=0,"",SUMIFS('Schedules'!$F:$F,'Schedules'!$B:$B,A36))))</f>
      </c>
      <c r="T36" s="9">
        <f>IF(A36="","",IF(L36&lt;&gt;"",L36,SUMIFS('Payments'!$D:$D,'Payments'!$B:$B,A36)))</f>
      </c>
      <c r="U36" s="9">
        <f>IF(OR(J36="",S36=""),"",J36-S36)</f>
      </c>
      <c r="V36" s="9">
        <f>IF(A36="","",IF(S36="",J36,S36)-N(T36)-N(N36))</f>
      </c>
      <c r="W36" s="10">
        <f>IF(A36="","",IF(AND(N(T36)&gt;0,N(T36)+N(N36)&gt;=IF(S36="",J36,S36)-0.005),"Paid",IF(AND(S36="",H36&lt;&gt;"",TODAY()&gt;H36),"Schedule date passed: none recorded",IF(AND(I36&lt;&gt;"",TODAY()&gt;I36),"Payment date passed: not paid in full",IF(S36&lt;&gt;"","Scheduled","Open")))))</f>
      </c>
    </row>
    <row r="37" spans="1:23" x14ac:dyDescent="0.25">
      <c r="R37" s="9">
        <f>IF(A37="","",SUMIFS('Claim lines'!$G:$G,'Claim lines'!$A:$A,A37))</f>
      </c>
      <c r="S37" s="9">
        <f>IF(A37="","",IF(K37&lt;&gt;"",K37,IF(COUNTIF('Schedules'!$B:$B,A37)=0,"",SUMIFS('Schedules'!$F:$F,'Schedules'!$B:$B,A37))))</f>
      </c>
      <c r="T37" s="9">
        <f>IF(A37="","",IF(L37&lt;&gt;"",L37,SUMIFS('Payments'!$D:$D,'Payments'!$B:$B,A37)))</f>
      </c>
      <c r="U37" s="9">
        <f>IF(OR(J37="",S37=""),"",J37-S37)</f>
      </c>
      <c r="V37" s="9">
        <f>IF(A37="","",IF(S37="",J37,S37)-N(T37)-N(N37))</f>
      </c>
      <c r="W37" s="10">
        <f>IF(A37="","",IF(AND(N(T37)&gt;0,N(T37)+N(N37)&gt;=IF(S37="",J37,S37)-0.005),"Paid",IF(AND(S37="",H37&lt;&gt;"",TODAY()&gt;H37),"Schedule date passed: none recorded",IF(AND(I37&lt;&gt;"",TODAY()&gt;I37),"Payment date passed: not paid in full",IF(S37&lt;&gt;"","Scheduled","Open")))))</f>
      </c>
    </row>
    <row r="38" spans="1:23" x14ac:dyDescent="0.25">
      <c r="R38" s="9">
        <f>IF(A38="","",SUMIFS('Claim lines'!$G:$G,'Claim lines'!$A:$A,A38))</f>
      </c>
      <c r="S38" s="9">
        <f>IF(A38="","",IF(K38&lt;&gt;"",K38,IF(COUNTIF('Schedules'!$B:$B,A38)=0,"",SUMIFS('Schedules'!$F:$F,'Schedules'!$B:$B,A38))))</f>
      </c>
      <c r="T38" s="9">
        <f>IF(A38="","",IF(L38&lt;&gt;"",L38,SUMIFS('Payments'!$D:$D,'Payments'!$B:$B,A38)))</f>
      </c>
      <c r="U38" s="9">
        <f>IF(OR(J38="",S38=""),"",J38-S38)</f>
      </c>
      <c r="V38" s="9">
        <f>IF(A38="","",IF(S38="",J38,S38)-N(T38)-N(N38))</f>
      </c>
      <c r="W38" s="10">
        <f>IF(A38="","",IF(AND(N(T38)&gt;0,N(T38)+N(N38)&gt;=IF(S38="",J38,S38)-0.005),"Paid",IF(AND(S38="",H38&lt;&gt;"",TODAY()&gt;H38),"Schedule date passed: none recorded",IF(AND(I38&lt;&gt;"",TODAY()&gt;I38),"Payment date passed: not paid in full",IF(S38&lt;&gt;"","Scheduled","Open")))))</f>
      </c>
    </row>
    <row r="39" spans="1:23" x14ac:dyDescent="0.25">
      <c r="R39" s="9">
        <f>IF(A39="","",SUMIFS('Claim lines'!$G:$G,'Claim lines'!$A:$A,A39))</f>
      </c>
      <c r="S39" s="9">
        <f>IF(A39="","",IF(K39&lt;&gt;"",K39,IF(COUNTIF('Schedules'!$B:$B,A39)=0,"",SUMIFS('Schedules'!$F:$F,'Schedules'!$B:$B,A39))))</f>
      </c>
      <c r="T39" s="9">
        <f>IF(A39="","",IF(L39&lt;&gt;"",L39,SUMIFS('Payments'!$D:$D,'Payments'!$B:$B,A39)))</f>
      </c>
      <c r="U39" s="9">
        <f>IF(OR(J39="",S39=""),"",J39-S39)</f>
      </c>
      <c r="V39" s="9">
        <f>IF(A39="","",IF(S39="",J39,S39)-N(T39)-N(N39))</f>
      </c>
      <c r="W39" s="10">
        <f>IF(A39="","",IF(AND(N(T39)&gt;0,N(T39)+N(N39)&gt;=IF(S39="",J39,S39)-0.005),"Paid",IF(AND(S39="",H39&lt;&gt;"",TODAY()&gt;H39),"Schedule date passed: none recorded",IF(AND(I39&lt;&gt;"",TODAY()&gt;I39),"Payment date passed: not paid in full",IF(S39&lt;&gt;"","Scheduled","Open")))))</f>
      </c>
    </row>
    <row r="40" spans="1:23" x14ac:dyDescent="0.25">
      <c r="R40" s="9">
        <f>IF(A40="","",SUMIFS('Claim lines'!$G:$G,'Claim lines'!$A:$A,A40))</f>
      </c>
      <c r="S40" s="9">
        <f>IF(A40="","",IF(K40&lt;&gt;"",K40,IF(COUNTIF('Schedules'!$B:$B,A40)=0,"",SUMIFS('Schedules'!$F:$F,'Schedules'!$B:$B,A40))))</f>
      </c>
      <c r="T40" s="9">
        <f>IF(A40="","",IF(L40&lt;&gt;"",L40,SUMIFS('Payments'!$D:$D,'Payments'!$B:$B,A40)))</f>
      </c>
      <c r="U40" s="9">
        <f>IF(OR(J40="",S40=""),"",J40-S40)</f>
      </c>
      <c r="V40" s="9">
        <f>IF(A40="","",IF(S40="",J40,S40)-N(T40)-N(N40))</f>
      </c>
      <c r="W40" s="10">
        <f>IF(A40="","",IF(AND(N(T40)&gt;0,N(T40)+N(N40)&gt;=IF(S40="",J40,S40)-0.005),"Paid",IF(AND(S40="",H40&lt;&gt;"",TODAY()&gt;H40),"Schedule date passed: none recorded",IF(AND(I40&lt;&gt;"",TODAY()&gt;I40),"Payment date passed: not paid in full",IF(S40&lt;&gt;"","Scheduled","Open")))))</f>
      </c>
    </row>
    <row r="41" spans="1:23" x14ac:dyDescent="0.25">
      <c r="R41" s="9">
        <f>IF(A41="","",SUMIFS('Claim lines'!$G:$G,'Claim lines'!$A:$A,A41))</f>
      </c>
      <c r="S41" s="9">
        <f>IF(A41="","",IF(K41&lt;&gt;"",K41,IF(COUNTIF('Schedules'!$B:$B,A41)=0,"",SUMIFS('Schedules'!$F:$F,'Schedules'!$B:$B,A41))))</f>
      </c>
      <c r="T41" s="9">
        <f>IF(A41="","",IF(L41&lt;&gt;"",L41,SUMIFS('Payments'!$D:$D,'Payments'!$B:$B,A41)))</f>
      </c>
      <c r="U41" s="9">
        <f>IF(OR(J41="",S41=""),"",J41-S41)</f>
      </c>
      <c r="V41" s="9">
        <f>IF(A41="","",IF(S41="",J41,S41)-N(T41)-N(N41))</f>
      </c>
      <c r="W41" s="10">
        <f>IF(A41="","",IF(AND(N(T41)&gt;0,N(T41)+N(N41)&gt;=IF(S41="",J41,S41)-0.005),"Paid",IF(AND(S41="",H41&lt;&gt;"",TODAY()&gt;H41),"Schedule date passed: none recorded",IF(AND(I41&lt;&gt;"",TODAY()&gt;I41),"Payment date passed: not paid in full",IF(S41&lt;&gt;"","Scheduled","Open")))))</f>
      </c>
    </row>
    <row r="42" spans="1:23" x14ac:dyDescent="0.25">
      <c r="R42" s="9">
        <f>IF(A42="","",SUMIFS('Claim lines'!$G:$G,'Claim lines'!$A:$A,A42))</f>
      </c>
      <c r="S42" s="9">
        <f>IF(A42="","",IF(K42&lt;&gt;"",K42,IF(COUNTIF('Schedules'!$B:$B,A42)=0,"",SUMIFS('Schedules'!$F:$F,'Schedules'!$B:$B,A42))))</f>
      </c>
      <c r="T42" s="9">
        <f>IF(A42="","",IF(L42&lt;&gt;"",L42,SUMIFS('Payments'!$D:$D,'Payments'!$B:$B,A42)))</f>
      </c>
      <c r="U42" s="9">
        <f>IF(OR(J42="",S42=""),"",J42-S42)</f>
      </c>
      <c r="V42" s="9">
        <f>IF(A42="","",IF(S42="",J42,S42)-N(T42)-N(N42))</f>
      </c>
      <c r="W42" s="10">
        <f>IF(A42="","",IF(AND(N(T42)&gt;0,N(T42)+N(N42)&gt;=IF(S42="",J42,S42)-0.005),"Paid",IF(AND(S42="",H42&lt;&gt;"",TODAY()&gt;H42),"Schedule date passed: none recorded",IF(AND(I42&lt;&gt;"",TODAY()&gt;I42),"Payment date passed: not paid in full",IF(S42&lt;&gt;"","Scheduled","Open")))))</f>
      </c>
    </row>
    <row r="43" spans="1:23" x14ac:dyDescent="0.25">
      <c r="R43" s="9">
        <f>IF(A43="","",SUMIFS('Claim lines'!$G:$G,'Claim lines'!$A:$A,A43))</f>
      </c>
      <c r="S43" s="9">
        <f>IF(A43="","",IF(K43&lt;&gt;"",K43,IF(COUNTIF('Schedules'!$B:$B,A43)=0,"",SUMIFS('Schedules'!$F:$F,'Schedules'!$B:$B,A43))))</f>
      </c>
      <c r="T43" s="9">
        <f>IF(A43="","",IF(L43&lt;&gt;"",L43,SUMIFS('Payments'!$D:$D,'Payments'!$B:$B,A43)))</f>
      </c>
      <c r="U43" s="9">
        <f>IF(OR(J43="",S43=""),"",J43-S43)</f>
      </c>
      <c r="V43" s="9">
        <f>IF(A43="","",IF(S43="",J43,S43)-N(T43)-N(N43))</f>
      </c>
      <c r="W43" s="10">
        <f>IF(A43="","",IF(AND(N(T43)&gt;0,N(T43)+N(N43)&gt;=IF(S43="",J43,S43)-0.005),"Paid",IF(AND(S43="",H43&lt;&gt;"",TODAY()&gt;H43),"Schedule date passed: none recorded",IF(AND(I43&lt;&gt;"",TODAY()&gt;I43),"Payment date passed: not paid in full",IF(S43&lt;&gt;"","Scheduled","Open")))))</f>
      </c>
    </row>
    <row r="44" spans="1:23" x14ac:dyDescent="0.25">
      <c r="R44" s="9">
        <f>IF(A44="","",SUMIFS('Claim lines'!$G:$G,'Claim lines'!$A:$A,A44))</f>
      </c>
      <c r="S44" s="9">
        <f>IF(A44="","",IF(K44&lt;&gt;"",K44,IF(COUNTIF('Schedules'!$B:$B,A44)=0,"",SUMIFS('Schedules'!$F:$F,'Schedules'!$B:$B,A44))))</f>
      </c>
      <c r="T44" s="9">
        <f>IF(A44="","",IF(L44&lt;&gt;"",L44,SUMIFS('Payments'!$D:$D,'Payments'!$B:$B,A44)))</f>
      </c>
      <c r="U44" s="9">
        <f>IF(OR(J44="",S44=""),"",J44-S44)</f>
      </c>
      <c r="V44" s="9">
        <f>IF(A44="","",IF(S44="",J44,S44)-N(T44)-N(N44))</f>
      </c>
      <c r="W44" s="10">
        <f>IF(A44="","",IF(AND(N(T44)&gt;0,N(T44)+N(N44)&gt;=IF(S44="",J44,S44)-0.005),"Paid",IF(AND(S44="",H44&lt;&gt;"",TODAY()&gt;H44),"Schedule date passed: none recorded",IF(AND(I44&lt;&gt;"",TODAY()&gt;I44),"Payment date passed: not paid in full",IF(S44&lt;&gt;"","Scheduled","Open")))))</f>
      </c>
    </row>
    <row r="45" spans="1:23" x14ac:dyDescent="0.25">
      <c r="R45" s="9">
        <f>IF(A45="","",SUMIFS('Claim lines'!$G:$G,'Claim lines'!$A:$A,A45))</f>
      </c>
      <c r="S45" s="9">
        <f>IF(A45="","",IF(K45&lt;&gt;"",K45,IF(COUNTIF('Schedules'!$B:$B,A45)=0,"",SUMIFS('Schedules'!$F:$F,'Schedules'!$B:$B,A45))))</f>
      </c>
      <c r="T45" s="9">
        <f>IF(A45="","",IF(L45&lt;&gt;"",L45,SUMIFS('Payments'!$D:$D,'Payments'!$B:$B,A45)))</f>
      </c>
      <c r="U45" s="9">
        <f>IF(OR(J45="",S45=""),"",J45-S45)</f>
      </c>
      <c r="V45" s="9">
        <f>IF(A45="","",IF(S45="",J45,S45)-N(T45)-N(N45))</f>
      </c>
      <c r="W45" s="10">
        <f>IF(A45="","",IF(AND(N(T45)&gt;0,N(T45)+N(N45)&gt;=IF(S45="",J45,S45)-0.005),"Paid",IF(AND(S45="",H45&lt;&gt;"",TODAY()&gt;H45),"Schedule date passed: none recorded",IF(AND(I45&lt;&gt;"",TODAY()&gt;I45),"Payment date passed: not paid in full",IF(S45&lt;&gt;"","Scheduled","Open")))))</f>
      </c>
    </row>
    <row r="46" spans="1:23" x14ac:dyDescent="0.25">
      <c r="R46" s="9">
        <f>IF(A46="","",SUMIFS('Claim lines'!$G:$G,'Claim lines'!$A:$A,A46))</f>
      </c>
      <c r="S46" s="9">
        <f>IF(A46="","",IF(K46&lt;&gt;"",K46,IF(COUNTIF('Schedules'!$B:$B,A46)=0,"",SUMIFS('Schedules'!$F:$F,'Schedules'!$B:$B,A46))))</f>
      </c>
      <c r="T46" s="9">
        <f>IF(A46="","",IF(L46&lt;&gt;"",L46,SUMIFS('Payments'!$D:$D,'Payments'!$B:$B,A46)))</f>
      </c>
      <c r="U46" s="9">
        <f>IF(OR(J46="",S46=""),"",J46-S46)</f>
      </c>
      <c r="V46" s="9">
        <f>IF(A46="","",IF(S46="",J46,S46)-N(T46)-N(N46))</f>
      </c>
      <c r="W46" s="10">
        <f>IF(A46="","",IF(AND(N(T46)&gt;0,N(T46)+N(N46)&gt;=IF(S46="",J46,S46)-0.005),"Paid",IF(AND(S46="",H46&lt;&gt;"",TODAY()&gt;H46),"Schedule date passed: none recorded",IF(AND(I46&lt;&gt;"",TODAY()&gt;I46),"Payment date passed: not paid in full",IF(S46&lt;&gt;"","Scheduled","Open")))))</f>
      </c>
    </row>
    <row r="47" spans="1:23" x14ac:dyDescent="0.25">
      <c r="R47" s="9">
        <f>IF(A47="","",SUMIFS('Claim lines'!$G:$G,'Claim lines'!$A:$A,A47))</f>
      </c>
      <c r="S47" s="9">
        <f>IF(A47="","",IF(K47&lt;&gt;"",K47,IF(COUNTIF('Schedules'!$B:$B,A47)=0,"",SUMIFS('Schedules'!$F:$F,'Schedules'!$B:$B,A47))))</f>
      </c>
      <c r="T47" s="9">
        <f>IF(A47="","",IF(L47&lt;&gt;"",L47,SUMIFS('Payments'!$D:$D,'Payments'!$B:$B,A47)))</f>
      </c>
      <c r="U47" s="9">
        <f>IF(OR(J47="",S47=""),"",J47-S47)</f>
      </c>
      <c r="V47" s="9">
        <f>IF(A47="","",IF(S47="",J47,S47)-N(T47)-N(N47))</f>
      </c>
      <c r="W47" s="10">
        <f>IF(A47="","",IF(AND(N(T47)&gt;0,N(T47)+N(N47)&gt;=IF(S47="",J47,S47)-0.005),"Paid",IF(AND(S47="",H47&lt;&gt;"",TODAY()&gt;H47),"Schedule date passed: none recorded",IF(AND(I47&lt;&gt;"",TODAY()&gt;I47),"Payment date passed: not paid in full",IF(S47&lt;&gt;"","Scheduled","Open")))))</f>
      </c>
    </row>
    <row r="48" spans="1:23" x14ac:dyDescent="0.25">
      <c r="R48" s="9">
        <f>IF(A48="","",SUMIFS('Claim lines'!$G:$G,'Claim lines'!$A:$A,A48))</f>
      </c>
      <c r="S48" s="9">
        <f>IF(A48="","",IF(K48&lt;&gt;"",K48,IF(COUNTIF('Schedules'!$B:$B,A48)=0,"",SUMIFS('Schedules'!$F:$F,'Schedules'!$B:$B,A48))))</f>
      </c>
      <c r="T48" s="9">
        <f>IF(A48="","",IF(L48&lt;&gt;"",L48,SUMIFS('Payments'!$D:$D,'Payments'!$B:$B,A48)))</f>
      </c>
      <c r="U48" s="9">
        <f>IF(OR(J48="",S48=""),"",J48-S48)</f>
      </c>
      <c r="V48" s="9">
        <f>IF(A48="","",IF(S48="",J48,S48)-N(T48)-N(N48))</f>
      </c>
      <c r="W48" s="10">
        <f>IF(A48="","",IF(AND(N(T48)&gt;0,N(T48)+N(N48)&gt;=IF(S48="",J48,S48)-0.005),"Paid",IF(AND(S48="",H48&lt;&gt;"",TODAY()&gt;H48),"Schedule date passed: none recorded",IF(AND(I48&lt;&gt;"",TODAY()&gt;I48),"Payment date passed: not paid in full",IF(S48&lt;&gt;"","Scheduled","Open")))))</f>
      </c>
    </row>
    <row r="49" spans="1:23" x14ac:dyDescent="0.25">
      <c r="R49" s="9">
        <f>IF(A49="","",SUMIFS('Claim lines'!$G:$G,'Claim lines'!$A:$A,A49))</f>
      </c>
      <c r="S49" s="9">
        <f>IF(A49="","",IF(K49&lt;&gt;"",K49,IF(COUNTIF('Schedules'!$B:$B,A49)=0,"",SUMIFS('Schedules'!$F:$F,'Schedules'!$B:$B,A49))))</f>
      </c>
      <c r="T49" s="9">
        <f>IF(A49="","",IF(L49&lt;&gt;"",L49,SUMIFS('Payments'!$D:$D,'Payments'!$B:$B,A49)))</f>
      </c>
      <c r="U49" s="9">
        <f>IF(OR(J49="",S49=""),"",J49-S49)</f>
      </c>
      <c r="V49" s="9">
        <f>IF(A49="","",IF(S49="",J49,S49)-N(T49)-N(N49))</f>
      </c>
      <c r="W49" s="10">
        <f>IF(A49="","",IF(AND(N(T49)&gt;0,N(T49)+N(N49)&gt;=IF(S49="",J49,S49)-0.005),"Paid",IF(AND(S49="",H49&lt;&gt;"",TODAY()&gt;H49),"Schedule date passed: none recorded",IF(AND(I49&lt;&gt;"",TODAY()&gt;I49),"Payment date passed: not paid in full",IF(S49&lt;&gt;"","Scheduled","Open")))))</f>
      </c>
    </row>
    <row r="51" spans="1:1" s="2" customFormat="1" x14ac:dyDescent="0.25">
      <c r="A51" s="2" t="s">
        <v>32</v>
      </c>
    </row>
  </sheetData>
  <dataValidations count="2">
    <dataValidation type="list" allowBlank="1" sqref="B10:B49">
      <formula1>"Sent,Received"</formula1>
    </dataValidation>
    <dataValidation type="list" allowBlank="1" sqref="B5:B49">
      <formula1>"Sent,Received"</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xSplit="1" ySplit="4" topLeftCell="B5" activePane="bottomRight" state="frozen"/>
      <selection pane="bottomRight"/>
    </sheetView>
  </sheetViews>
  <sheetFormatPr defaultRowHeight="15" outlineLevelRow="0" outlineLevelCol="0" x14ac:dyDescent="55"/>
  <cols>
    <col min="1" max="1" width="13" customWidth="1"/>
    <col min="2" max="2" width="11" customWidth="1"/>
    <col min="3" max="3" width="18" customWidth="1"/>
    <col min="4" max="4" width="13" customWidth="1"/>
    <col min="5" max="7" width="11" customWidth="1"/>
    <col min="8" max="8" width="37" customWidth="1"/>
    <col min="9" max="9" width="13" customWidth="1"/>
  </cols>
  <sheetData>
    <row r="1" spans="1:1" s="1" customFormat="1" x14ac:dyDescent="0.25">
      <c r="A1" s="1" t="s">
        <v>140</v>
      </c>
    </row>
    <row r="2" spans="1:1" s="2" customFormat="1" x14ac:dyDescent="0.25">
      <c r="A2" s="2" t="s">
        <v>141</v>
      </c>
    </row>
    <row r="4" spans="1:9" s="3" customFormat="1" x14ac:dyDescent="0.25">
      <c r="A4" s="7" t="s">
        <v>142</v>
      </c>
      <c r="B4" s="7" t="s">
        <v>96</v>
      </c>
      <c r="C4" s="7" t="s">
        <v>143</v>
      </c>
      <c r="D4" s="7" t="s">
        <v>112</v>
      </c>
      <c r="E4" s="7" t="s">
        <v>144</v>
      </c>
      <c r="F4" s="7" t="s">
        <v>145</v>
      </c>
      <c r="G4" s="7" t="s">
        <v>146</v>
      </c>
      <c r="H4" s="7" t="s">
        <v>147</v>
      </c>
      <c r="I4" s="7" t="s">
        <v>148</v>
      </c>
    </row>
    <row r="5" spans="1:9" x14ac:dyDescent="0.25">
      <c r="A5" t="s">
        <v>149</v>
      </c>
      <c r="B5" t="s">
        <v>102</v>
      </c>
      <c r="C5" s="8">
        <v>46315</v>
      </c>
      <c r="D5" s="8">
        <v>46315</v>
      </c>
      <c r="E5">
        <v>77700</v>
      </c>
      <c r="F5">
        <v>77700</v>
      </c>
      <c r="H5" s="9">
        <f>IF(A5="","",E5-F5)</f>
      </c>
      <c r="I5" s="10">
        <f>IF(A5="","",IF(COUNTIF('Claims'!$A:$A,B5)&gt;0,"Yes","Not in Claims"))</f>
      </c>
    </row>
    <row r="6" spans="1:9" x14ac:dyDescent="0.25">
      <c r="A6" t="s">
        <v>150</v>
      </c>
      <c r="B6" t="s">
        <v>136</v>
      </c>
      <c r="C6" s="8">
        <v>46315</v>
      </c>
      <c r="D6" s="8">
        <v>46315</v>
      </c>
      <c r="E6">
        <v>24000</v>
      </c>
      <c r="F6">
        <v>22500</v>
      </c>
      <c r="G6" t="s">
        <v>151</v>
      </c>
      <c r="H6" s="9">
        <f>IF(A6="","",E6-F6)</f>
      </c>
      <c r="I6" s="10">
        <f>IF(A6="","",IF(COUNTIF('Claims'!$A:$A,B6)&gt;0,"Yes","Not in Claims"))</f>
      </c>
    </row>
    <row r="7" spans="1:9" x14ac:dyDescent="0.25">
      <c r="H7" s="9">
        <f>IF(A7="","",E7-F7)</f>
      </c>
      <c r="I7" s="10">
        <f>IF(A7="","",IF(COUNTIF('Claims'!$A:$A,B7)&gt;0,"Yes","Not in Claims"))</f>
      </c>
    </row>
    <row r="8" spans="1:9" x14ac:dyDescent="0.25">
      <c r="H8" s="9">
        <f>IF(A8="","",E8-F8)</f>
      </c>
      <c r="I8" s="10">
        <f>IF(A8="","",IF(COUNTIF('Claims'!$A:$A,B8)&gt;0,"Yes","Not in Claims"))</f>
      </c>
    </row>
    <row r="9" spans="1:9" x14ac:dyDescent="0.25">
      <c r="H9" s="9">
        <f>IF(A9="","",E9-F9)</f>
      </c>
      <c r="I9" s="10">
        <f>IF(A9="","",IF(COUNTIF('Claims'!$A:$A,B9)&gt;0,"Yes","Not in Claims"))</f>
      </c>
    </row>
    <row r="10" spans="1:9" x14ac:dyDescent="0.25">
      <c r="H10" s="9">
        <f>IF(A10="","",E10-F10)</f>
      </c>
      <c r="I10" s="10">
        <f>IF(A10="","",IF(COUNTIF('Claims'!$A:$A,B10)&gt;0,"Yes","Not in Claims"))</f>
      </c>
    </row>
    <row r="11" spans="1:9" x14ac:dyDescent="0.25">
      <c r="H11" s="9">
        <f>IF(A11="","",E11-F11)</f>
      </c>
      <c r="I11" s="10">
        <f>IF(A11="","",IF(COUNTIF('Claims'!$A:$A,B11)&gt;0,"Yes","Not in Claims"))</f>
      </c>
    </row>
    <row r="12" spans="1:9" x14ac:dyDescent="0.25">
      <c r="H12" s="9">
        <f>IF(A12="","",E12-F12)</f>
      </c>
      <c r="I12" s="10">
        <f>IF(A12="","",IF(COUNTIF('Claims'!$A:$A,B12)&gt;0,"Yes","Not in Claims"))</f>
      </c>
    </row>
    <row r="13" spans="1:9" x14ac:dyDescent="0.25">
      <c r="H13" s="9">
        <f>IF(A13="","",E13-F13)</f>
      </c>
      <c r="I13" s="10">
        <f>IF(A13="","",IF(COUNTIF('Claims'!$A:$A,B13)&gt;0,"Yes","Not in Claims"))</f>
      </c>
    </row>
    <row r="14" spans="1:9" x14ac:dyDescent="0.25">
      <c r="H14" s="9">
        <f>IF(A14="","",E14-F14)</f>
      </c>
      <c r="I14" s="10">
        <f>IF(A14="","",IF(COUNTIF('Claims'!$A:$A,B14)&gt;0,"Yes","Not in Claims"))</f>
      </c>
    </row>
    <row r="15" spans="1:9" x14ac:dyDescent="0.25">
      <c r="H15" s="9">
        <f>IF(A15="","",E15-F15)</f>
      </c>
      <c r="I15" s="10">
        <f>IF(A15="","",IF(COUNTIF('Claims'!$A:$A,B15)&gt;0,"Yes","Not in Claims"))</f>
      </c>
    </row>
    <row r="16" spans="1:9" x14ac:dyDescent="0.25">
      <c r="H16" s="9">
        <f>IF(A16="","",E16-F16)</f>
      </c>
      <c r="I16" s="10">
        <f>IF(A16="","",IF(COUNTIF('Claims'!$A:$A,B16)&gt;0,"Yes","Not in Claims"))</f>
      </c>
    </row>
    <row r="17" spans="1:9" x14ac:dyDescent="0.25">
      <c r="H17" s="9">
        <f>IF(A17="","",E17-F17)</f>
      </c>
      <c r="I17" s="10">
        <f>IF(A17="","",IF(COUNTIF('Claims'!$A:$A,B17)&gt;0,"Yes","Not in Claims"))</f>
      </c>
    </row>
    <row r="18" spans="1:9" x14ac:dyDescent="0.25">
      <c r="H18" s="9">
        <f>IF(A18="","",E18-F18)</f>
      </c>
      <c r="I18" s="10">
        <f>IF(A18="","",IF(COUNTIF('Claims'!$A:$A,B18)&gt;0,"Yes","Not in Claims"))</f>
      </c>
    </row>
    <row r="19" spans="1:9" x14ac:dyDescent="0.25">
      <c r="H19" s="9">
        <f>IF(A19="","",E19-F19)</f>
      </c>
      <c r="I19" s="10">
        <f>IF(A19="","",IF(COUNTIF('Claims'!$A:$A,B19)&gt;0,"Yes","Not in Claims"))</f>
      </c>
    </row>
    <row r="20" spans="1:9" x14ac:dyDescent="0.25">
      <c r="H20" s="9">
        <f>IF(A20="","",E20-F20)</f>
      </c>
      <c r="I20" s="10">
        <f>IF(A20="","",IF(COUNTIF('Claims'!$A:$A,B20)&gt;0,"Yes","Not in Claims"))</f>
      </c>
    </row>
    <row r="21" spans="1:9" x14ac:dyDescent="0.25">
      <c r="H21" s="9">
        <f>IF(A21="","",E21-F21)</f>
      </c>
      <c r="I21" s="10">
        <f>IF(A21="","",IF(COUNTIF('Claims'!$A:$A,B21)&gt;0,"Yes","Not in Claims"))</f>
      </c>
    </row>
    <row r="22" spans="1:9" x14ac:dyDescent="0.25">
      <c r="H22" s="9">
        <f>IF(A22="","",E22-F22)</f>
      </c>
      <c r="I22" s="10">
        <f>IF(A22="","",IF(COUNTIF('Claims'!$A:$A,B22)&gt;0,"Yes","Not in Claims"))</f>
      </c>
    </row>
    <row r="23" spans="1:9" x14ac:dyDescent="0.25">
      <c r="H23" s="9">
        <f>IF(A23="","",E23-F23)</f>
      </c>
      <c r="I23" s="10">
        <f>IF(A23="","",IF(COUNTIF('Claims'!$A:$A,B23)&gt;0,"Yes","Not in Claims"))</f>
      </c>
    </row>
    <row r="24" spans="1:9" x14ac:dyDescent="0.25">
      <c r="H24" s="9">
        <f>IF(A24="","",E24-F24)</f>
      </c>
      <c r="I24" s="10">
        <f>IF(A24="","",IF(COUNTIF('Claims'!$A:$A,B24)&gt;0,"Yes","Not in Claims"))</f>
      </c>
    </row>
    <row r="25" spans="1:9" x14ac:dyDescent="0.25">
      <c r="H25" s="9">
        <f>IF(A25="","",E25-F25)</f>
      </c>
      <c r="I25" s="10">
        <f>IF(A25="","",IF(COUNTIF('Claims'!$A:$A,B25)&gt;0,"Yes","Not in Claims"))</f>
      </c>
    </row>
    <row r="26" spans="1:9" x14ac:dyDescent="0.25">
      <c r="H26" s="9">
        <f>IF(A26="","",E26-F26)</f>
      </c>
      <c r="I26" s="10">
        <f>IF(A26="","",IF(COUNTIF('Claims'!$A:$A,B26)&gt;0,"Yes","Not in Claims"))</f>
      </c>
    </row>
    <row r="27" spans="1:9" x14ac:dyDescent="0.25">
      <c r="H27" s="9">
        <f>IF(A27="","",E27-F27)</f>
      </c>
      <c r="I27" s="10">
        <f>IF(A27="","",IF(COUNTIF('Claims'!$A:$A,B27)&gt;0,"Yes","Not in Claims"))</f>
      </c>
    </row>
    <row r="28" spans="1:9" x14ac:dyDescent="0.25">
      <c r="H28" s="9">
        <f>IF(A28="","",E28-F28)</f>
      </c>
      <c r="I28" s="10">
        <f>IF(A28="","",IF(COUNTIF('Claims'!$A:$A,B28)&gt;0,"Yes","Not in Claims"))</f>
      </c>
    </row>
    <row r="29" spans="1:9" x14ac:dyDescent="0.25">
      <c r="H29" s="9">
        <f>IF(A29="","",E29-F29)</f>
      </c>
      <c r="I29" s="10">
        <f>IF(A29="","",IF(COUNTIF('Claims'!$A:$A,B29)&gt;0,"Yes","Not in Claims"))</f>
      </c>
    </row>
    <row r="30" spans="1:9" x14ac:dyDescent="0.25">
      <c r="H30" s="9">
        <f>IF(A30="","",E30-F30)</f>
      </c>
      <c r="I30" s="10">
        <f>IF(A30="","",IF(COUNTIF('Claims'!$A:$A,B30)&gt;0,"Yes","Not in Claims"))</f>
      </c>
    </row>
    <row r="31" spans="1:9" x14ac:dyDescent="0.25">
      <c r="H31" s="9">
        <f>IF(A31="","",E31-F31)</f>
      </c>
      <c r="I31" s="10">
        <f>IF(A31="","",IF(COUNTIF('Claims'!$A:$A,B31)&gt;0,"Yes","Not in Claims"))</f>
      </c>
    </row>
    <row r="32" spans="1:9" x14ac:dyDescent="0.25">
      <c r="H32" s="9">
        <f>IF(A32="","",E32-F32)</f>
      </c>
      <c r="I32" s="10">
        <f>IF(A32="","",IF(COUNTIF('Claims'!$A:$A,B32)&gt;0,"Yes","Not in Claims"))</f>
      </c>
    </row>
    <row r="33" spans="1:9" x14ac:dyDescent="0.25">
      <c r="H33" s="9">
        <f>IF(A33="","",E33-F33)</f>
      </c>
      <c r="I33" s="10">
        <f>IF(A33="","",IF(COUNTIF('Claims'!$A:$A,B33)&gt;0,"Yes","Not in Claims"))</f>
      </c>
    </row>
    <row r="34" spans="1:9" x14ac:dyDescent="0.25">
      <c r="H34" s="9">
        <f>IF(A34="","",E34-F34)</f>
      </c>
      <c r="I34" s="10">
        <f>IF(A34="","",IF(COUNTIF('Claims'!$A:$A,B34)&gt;0,"Yes","Not in Claims"))</f>
      </c>
    </row>
    <row r="35" spans="1:9" x14ac:dyDescent="0.25">
      <c r="H35" s="9">
        <f>IF(A35="","",E35-F35)</f>
      </c>
      <c r="I35" s="10">
        <f>IF(A35="","",IF(COUNTIF('Claims'!$A:$A,B35)&gt;0,"Yes","Not in Claims"))</f>
      </c>
    </row>
    <row r="36" spans="1:9" x14ac:dyDescent="0.25">
      <c r="H36" s="9">
        <f>IF(A36="","",E36-F36)</f>
      </c>
      <c r="I36" s="10">
        <f>IF(A36="","",IF(COUNTIF('Claims'!$A:$A,B36)&gt;0,"Yes","Not in Claims"))</f>
      </c>
    </row>
    <row r="37" spans="1:9" x14ac:dyDescent="0.25">
      <c r="H37" s="9">
        <f>IF(A37="","",E37-F37)</f>
      </c>
      <c r="I37" s="10">
        <f>IF(A37="","",IF(COUNTIF('Claims'!$A:$A,B37)&gt;0,"Yes","Not in Claims"))</f>
      </c>
    </row>
    <row r="38" spans="1:9" x14ac:dyDescent="0.25">
      <c r="H38" s="9">
        <f>IF(A38="","",E38-F38)</f>
      </c>
      <c r="I38" s="10">
        <f>IF(A38="","",IF(COUNTIF('Claims'!$A:$A,B38)&gt;0,"Yes","Not in Claims"))</f>
      </c>
    </row>
    <row r="39" spans="1:9" x14ac:dyDescent="0.25">
      <c r="H39" s="9">
        <f>IF(A39="","",E39-F39)</f>
      </c>
      <c r="I39" s="10">
        <f>IF(A39="","",IF(COUNTIF('Claims'!$A:$A,B39)&gt;0,"Yes","Not in Claims"))</f>
      </c>
    </row>
    <row r="40" spans="1:9" x14ac:dyDescent="0.25">
      <c r="H40" s="9">
        <f>IF(A40="","",E40-F40)</f>
      </c>
      <c r="I40" s="10">
        <f>IF(A40="","",IF(COUNTIF('Claims'!$A:$A,B40)&gt;0,"Yes","Not in Claims"))</f>
      </c>
    </row>
    <row r="41" spans="1:9" x14ac:dyDescent="0.25">
      <c r="H41" s="9">
        <f>IF(A41="","",E41-F41)</f>
      </c>
      <c r="I41" s="10">
        <f>IF(A41="","",IF(COUNTIF('Claims'!$A:$A,B41)&gt;0,"Yes","Not in Claims"))</f>
      </c>
    </row>
    <row r="42" spans="1:9" x14ac:dyDescent="0.25">
      <c r="H42" s="9">
        <f>IF(A42="","",E42-F42)</f>
      </c>
      <c r="I42" s="10">
        <f>IF(A42="","",IF(COUNTIF('Claims'!$A:$A,B42)&gt;0,"Yes","Not in Claims"))</f>
      </c>
    </row>
    <row r="43" spans="1:9" x14ac:dyDescent="0.25">
      <c r="H43" s="9">
        <f>IF(A43="","",E43-F43)</f>
      </c>
      <c r="I43" s="10">
        <f>IF(A43="","",IF(COUNTIF('Claims'!$A:$A,B43)&gt;0,"Yes","Not in Claims"))</f>
      </c>
    </row>
    <row r="44" spans="1:9" x14ac:dyDescent="0.25">
      <c r="H44" s="9">
        <f>IF(A44="","",E44-F44)</f>
      </c>
      <c r="I44" s="10">
        <f>IF(A44="","",IF(COUNTIF('Claims'!$A:$A,B44)&gt;0,"Yes","Not in Claims"))</f>
      </c>
    </row>
    <row r="45" spans="1:9" x14ac:dyDescent="0.25">
      <c r="H45" s="9">
        <f>IF(A45="","",E45-F45)</f>
      </c>
      <c r="I45" s="10">
        <f>IF(A45="","",IF(COUNTIF('Claims'!$A:$A,B45)&gt;0,"Yes","Not in Claims"))</f>
      </c>
    </row>
    <row r="46" spans="1:9" x14ac:dyDescent="0.25">
      <c r="H46" s="9">
        <f>IF(A46="","",E46-F46)</f>
      </c>
      <c r="I46" s="10">
        <f>IF(A46="","",IF(COUNTIF('Claims'!$A:$A,B46)&gt;0,"Yes","Not in Claims"))</f>
      </c>
    </row>
    <row r="48" spans="1:1" s="2" customFormat="1" x14ac:dyDescent="0.25">
      <c r="A48" s="2" t="s">
        <v>32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pane xSplit="1" ySplit="4" topLeftCell="B5" activePane="bottomRight" state="frozen"/>
      <selection pane="bottomRight"/>
    </sheetView>
  </sheetViews>
  <sheetFormatPr defaultRowHeight="15" outlineLevelRow="0" outlineLevelCol="0" x14ac:dyDescent="55"/>
  <cols>
    <col min="1" max="1" width="12" customWidth="1"/>
    <col min="2" max="3" width="11" customWidth="1"/>
    <col min="4" max="4" width="22" customWidth="1"/>
    <col min="5" max="5" width="11" customWidth="1"/>
    <col min="6" max="6" width="13" customWidth="1"/>
  </cols>
  <sheetData>
    <row r="1" spans="1:1" s="1" customFormat="1" x14ac:dyDescent="0.25">
      <c r="A1" s="1" t="s">
        <v>152</v>
      </c>
    </row>
    <row r="2" spans="1:1" s="2" customFormat="1" x14ac:dyDescent="0.25">
      <c r="A2" s="2" t="s">
        <v>153</v>
      </c>
    </row>
    <row r="4" spans="1:6" s="3" customFormat="1" x14ac:dyDescent="0.25">
      <c r="A4" s="7" t="s">
        <v>154</v>
      </c>
      <c r="B4" s="7" t="s">
        <v>96</v>
      </c>
      <c r="C4" s="7" t="s">
        <v>118</v>
      </c>
      <c r="D4" s="7" t="s">
        <v>155</v>
      </c>
      <c r="E4" s="7" t="s">
        <v>156</v>
      </c>
      <c r="F4" s="7" t="s">
        <v>148</v>
      </c>
    </row>
    <row r="5" spans="1:6" x14ac:dyDescent="0.25">
      <c r="A5" t="s">
        <v>157</v>
      </c>
      <c r="B5" t="s">
        <v>102</v>
      </c>
      <c r="C5" s="8">
        <v>46324</v>
      </c>
      <c r="D5">
        <v>73815</v>
      </c>
      <c r="E5" t="s">
        <v>158</v>
      </c>
      <c r="F5" s="10">
        <f>IF(A5="","",IF(COUNTIF('Claims'!$A:$A,B5)&gt;0,"Yes","Not in Claims"))</f>
      </c>
    </row>
    <row r="6" spans="1:6" x14ac:dyDescent="0.25">
      <c r="A6" t="s">
        <v>159</v>
      </c>
      <c r="B6" t="s">
        <v>136</v>
      </c>
      <c r="C6" s="8">
        <v>46324</v>
      </c>
      <c r="D6">
        <v>21375</v>
      </c>
      <c r="E6" t="s">
        <v>160</v>
      </c>
      <c r="F6" s="10">
        <f>IF(A6="","",IF(COUNTIF('Claims'!$A:$A,B6)&gt;0,"Yes","Not in Claims"))</f>
      </c>
    </row>
    <row r="7" spans="1:6" x14ac:dyDescent="0.25">
      <c r="F7" s="10">
        <f>IF(A7="","",IF(COUNTIF('Claims'!$A:$A,B7)&gt;0,"Yes","Not in Claims"))</f>
      </c>
    </row>
    <row r="8" spans="1:6" x14ac:dyDescent="0.25">
      <c r="F8" s="10">
        <f>IF(A8="","",IF(COUNTIF('Claims'!$A:$A,B8)&gt;0,"Yes","Not in Claims"))</f>
      </c>
    </row>
    <row r="9" spans="1:6" x14ac:dyDescent="0.25">
      <c r="F9" s="10">
        <f>IF(A9="","",IF(COUNTIF('Claims'!$A:$A,B9)&gt;0,"Yes","Not in Claims"))</f>
      </c>
    </row>
    <row r="10" spans="1:6" x14ac:dyDescent="0.25">
      <c r="F10" s="10">
        <f>IF(A10="","",IF(COUNTIF('Claims'!$A:$A,B10)&gt;0,"Yes","Not in Claims"))</f>
      </c>
    </row>
    <row r="11" spans="1:6" x14ac:dyDescent="0.25">
      <c r="F11" s="10">
        <f>IF(A11="","",IF(COUNTIF('Claims'!$A:$A,B11)&gt;0,"Yes","Not in Claims"))</f>
      </c>
    </row>
    <row r="12" spans="1:6" x14ac:dyDescent="0.25">
      <c r="F12" s="10">
        <f>IF(A12="","",IF(COUNTIF('Claims'!$A:$A,B12)&gt;0,"Yes","Not in Claims"))</f>
      </c>
    </row>
    <row r="13" spans="1:6" x14ac:dyDescent="0.25">
      <c r="F13" s="10">
        <f>IF(A13="","",IF(COUNTIF('Claims'!$A:$A,B13)&gt;0,"Yes","Not in Claims"))</f>
      </c>
    </row>
    <row r="14" spans="1:6" x14ac:dyDescent="0.25">
      <c r="F14" s="10">
        <f>IF(A14="","",IF(COUNTIF('Claims'!$A:$A,B14)&gt;0,"Yes","Not in Claims"))</f>
      </c>
    </row>
    <row r="15" spans="1:6" x14ac:dyDescent="0.25">
      <c r="F15" s="10">
        <f>IF(A15="","",IF(COUNTIF('Claims'!$A:$A,B15)&gt;0,"Yes","Not in Claims"))</f>
      </c>
    </row>
    <row r="16" spans="1:6" x14ac:dyDescent="0.25">
      <c r="F16" s="10">
        <f>IF(A16="","",IF(COUNTIF('Claims'!$A:$A,B16)&gt;0,"Yes","Not in Claims"))</f>
      </c>
    </row>
    <row r="17" spans="1:6" x14ac:dyDescent="0.25">
      <c r="F17" s="10">
        <f>IF(A17="","",IF(COUNTIF('Claims'!$A:$A,B17)&gt;0,"Yes","Not in Claims"))</f>
      </c>
    </row>
    <row r="18" spans="1:6" x14ac:dyDescent="0.25">
      <c r="F18" s="10">
        <f>IF(A18="","",IF(COUNTIF('Claims'!$A:$A,B18)&gt;0,"Yes","Not in Claims"))</f>
      </c>
    </row>
    <row r="19" spans="1:6" x14ac:dyDescent="0.25">
      <c r="F19" s="10">
        <f>IF(A19="","",IF(COUNTIF('Claims'!$A:$A,B19)&gt;0,"Yes","Not in Claims"))</f>
      </c>
    </row>
    <row r="20" spans="1:6" x14ac:dyDescent="0.25">
      <c r="F20" s="10">
        <f>IF(A20="","",IF(COUNTIF('Claims'!$A:$A,B20)&gt;0,"Yes","Not in Claims"))</f>
      </c>
    </row>
    <row r="21" spans="1:6" x14ac:dyDescent="0.25">
      <c r="F21" s="10">
        <f>IF(A21="","",IF(COUNTIF('Claims'!$A:$A,B21)&gt;0,"Yes","Not in Claims"))</f>
      </c>
    </row>
    <row r="22" spans="1:6" x14ac:dyDescent="0.25">
      <c r="F22" s="10">
        <f>IF(A22="","",IF(COUNTIF('Claims'!$A:$A,B22)&gt;0,"Yes","Not in Claims"))</f>
      </c>
    </row>
    <row r="23" spans="1:6" x14ac:dyDescent="0.25">
      <c r="F23" s="10">
        <f>IF(A23="","",IF(COUNTIF('Claims'!$A:$A,B23)&gt;0,"Yes","Not in Claims"))</f>
      </c>
    </row>
    <row r="24" spans="1:6" x14ac:dyDescent="0.25">
      <c r="F24" s="10">
        <f>IF(A24="","",IF(COUNTIF('Claims'!$A:$A,B24)&gt;0,"Yes","Not in Claims"))</f>
      </c>
    </row>
    <row r="25" spans="1:6" x14ac:dyDescent="0.25">
      <c r="F25" s="10">
        <f>IF(A25="","",IF(COUNTIF('Claims'!$A:$A,B25)&gt;0,"Yes","Not in Claims"))</f>
      </c>
    </row>
    <row r="26" spans="1:6" x14ac:dyDescent="0.25">
      <c r="F26" s="10">
        <f>IF(A26="","",IF(COUNTIF('Claims'!$A:$A,B26)&gt;0,"Yes","Not in Claims"))</f>
      </c>
    </row>
    <row r="27" spans="1:6" x14ac:dyDescent="0.25">
      <c r="F27" s="10">
        <f>IF(A27="","",IF(COUNTIF('Claims'!$A:$A,B27)&gt;0,"Yes","Not in Claims"))</f>
      </c>
    </row>
    <row r="28" spans="1:6" x14ac:dyDescent="0.25">
      <c r="F28" s="10">
        <f>IF(A28="","",IF(COUNTIF('Claims'!$A:$A,B28)&gt;0,"Yes","Not in Claims"))</f>
      </c>
    </row>
    <row r="29" spans="1:6" x14ac:dyDescent="0.25">
      <c r="F29" s="10">
        <f>IF(A29="","",IF(COUNTIF('Claims'!$A:$A,B29)&gt;0,"Yes","Not in Claims"))</f>
      </c>
    </row>
    <row r="30" spans="1:6" x14ac:dyDescent="0.25">
      <c r="F30" s="10">
        <f>IF(A30="","",IF(COUNTIF('Claims'!$A:$A,B30)&gt;0,"Yes","Not in Claims"))</f>
      </c>
    </row>
    <row r="31" spans="1:6" x14ac:dyDescent="0.25">
      <c r="F31" s="10">
        <f>IF(A31="","",IF(COUNTIF('Claims'!$A:$A,B31)&gt;0,"Yes","Not in Claims"))</f>
      </c>
    </row>
    <row r="32" spans="1:6" x14ac:dyDescent="0.25">
      <c r="F32" s="10">
        <f>IF(A32="","",IF(COUNTIF('Claims'!$A:$A,B32)&gt;0,"Yes","Not in Claims"))</f>
      </c>
    </row>
    <row r="33" spans="1:6" x14ac:dyDescent="0.25">
      <c r="F33" s="10">
        <f>IF(A33="","",IF(COUNTIF('Claims'!$A:$A,B33)&gt;0,"Yes","Not in Claims"))</f>
      </c>
    </row>
    <row r="34" spans="1:6" x14ac:dyDescent="0.25">
      <c r="F34" s="10">
        <f>IF(A34="","",IF(COUNTIF('Claims'!$A:$A,B34)&gt;0,"Yes","Not in Claims"))</f>
      </c>
    </row>
    <row r="35" spans="1:6" x14ac:dyDescent="0.25">
      <c r="F35" s="10">
        <f>IF(A35="","",IF(COUNTIF('Claims'!$A:$A,B35)&gt;0,"Yes","Not in Claims"))</f>
      </c>
    </row>
    <row r="36" spans="1:6" x14ac:dyDescent="0.25">
      <c r="F36" s="10">
        <f>IF(A36="","",IF(COUNTIF('Claims'!$A:$A,B36)&gt;0,"Yes","Not in Claims"))</f>
      </c>
    </row>
    <row r="37" spans="1:6" x14ac:dyDescent="0.25">
      <c r="F37" s="10">
        <f>IF(A37="","",IF(COUNTIF('Claims'!$A:$A,B37)&gt;0,"Yes","Not in Claims"))</f>
      </c>
    </row>
    <row r="38" spans="1:6" x14ac:dyDescent="0.25">
      <c r="F38" s="10">
        <f>IF(A38="","",IF(COUNTIF('Claims'!$A:$A,B38)&gt;0,"Yes","Not in Claims"))</f>
      </c>
    </row>
    <row r="39" spans="1:6" x14ac:dyDescent="0.25">
      <c r="F39" s="10">
        <f>IF(A39="","",IF(COUNTIF('Claims'!$A:$A,B39)&gt;0,"Yes","Not in Claims"))</f>
      </c>
    </row>
    <row r="40" spans="1:6" x14ac:dyDescent="0.25">
      <c r="F40" s="10">
        <f>IF(A40="","",IF(COUNTIF('Claims'!$A:$A,B40)&gt;0,"Yes","Not in Claims"))</f>
      </c>
    </row>
    <row r="41" spans="1:6" x14ac:dyDescent="0.25">
      <c r="F41" s="10">
        <f>IF(A41="","",IF(COUNTIF('Claims'!$A:$A,B41)&gt;0,"Yes","Not in Claims"))</f>
      </c>
    </row>
    <row r="42" spans="1:6" x14ac:dyDescent="0.25">
      <c r="F42" s="10">
        <f>IF(A42="","",IF(COUNTIF('Claims'!$A:$A,B42)&gt;0,"Yes","Not in Claims"))</f>
      </c>
    </row>
    <row r="43" spans="1:6" x14ac:dyDescent="0.25">
      <c r="F43" s="10">
        <f>IF(A43="","",IF(COUNTIF('Claims'!$A:$A,B43)&gt;0,"Yes","Not in Claims"))</f>
      </c>
    </row>
    <row r="44" spans="1:6" x14ac:dyDescent="0.25">
      <c r="F44" s="10">
        <f>IF(A44="","",IF(COUNTIF('Claims'!$A:$A,B44)&gt;0,"Yes","Not in Claims"))</f>
      </c>
    </row>
    <row r="45" spans="1:6" x14ac:dyDescent="0.25">
      <c r="F45" s="10">
        <f>IF(A45="","",IF(COUNTIF('Claims'!$A:$A,B45)&gt;0,"Yes","Not in Claims"))</f>
      </c>
    </row>
    <row r="46" spans="1:6" x14ac:dyDescent="0.25">
      <c r="F46" s="10">
        <f>IF(A46="","",IF(COUNTIF('Claims'!$A:$A,B46)&gt;0,"Yes","Not in Claims"))</f>
      </c>
    </row>
    <row r="48" spans="1:1" s="2" customFormat="1" x14ac:dyDescent="0.25">
      <c r="A48" s="2" t="s">
        <v>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pane xSplit="1" ySplit="4" topLeftCell="B5" activePane="bottomRight" state="frozen"/>
      <selection pane="bottomRight"/>
    </sheetView>
  </sheetViews>
  <sheetFormatPr defaultRowHeight="15" outlineLevelRow="0" outlineLevelCol="0" x14ac:dyDescent="55"/>
  <cols>
    <col min="1" max="1" width="14" customWidth="1"/>
    <col min="2" max="5" width="11" customWidth="1"/>
    <col min="6" max="6" width="17" customWidth="1"/>
    <col min="7" max="7" width="11" customWidth="1"/>
    <col min="8" max="8" width="14" customWidth="1"/>
    <col min="9" max="9" width="37" customWidth="1"/>
    <col min="10" max="10" width="41" customWidth="1"/>
  </cols>
  <sheetData>
    <row r="1" spans="1:1" s="1" customFormat="1" x14ac:dyDescent="0.25">
      <c r="A1" s="1" t="s">
        <v>161</v>
      </c>
    </row>
    <row r="2" spans="1:1" s="2" customFormat="1" x14ac:dyDescent="0.25">
      <c r="A2" s="2" t="s">
        <v>162</v>
      </c>
    </row>
    <row r="4" spans="1:10" s="3" customFormat="1" x14ac:dyDescent="0.25">
      <c r="A4" s="7" t="s">
        <v>163</v>
      </c>
      <c r="B4" s="7" t="s">
        <v>96</v>
      </c>
      <c r="C4" s="7" t="s">
        <v>121</v>
      </c>
      <c r="D4" s="7" t="s">
        <v>164</v>
      </c>
      <c r="E4" s="7" t="s">
        <v>63</v>
      </c>
      <c r="F4" s="7" t="s">
        <v>165</v>
      </c>
      <c r="G4" s="7" t="s">
        <v>166</v>
      </c>
      <c r="H4" s="7" t="s">
        <v>167</v>
      </c>
      <c r="I4" s="7" t="s">
        <v>168</v>
      </c>
      <c r="J4" s="7" t="s">
        <v>169</v>
      </c>
    </row>
    <row r="5" spans="1:10" x14ac:dyDescent="0.25">
      <c r="A5" t="s">
        <v>170</v>
      </c>
      <c r="B5" t="s">
        <v>102</v>
      </c>
      <c r="D5" t="s">
        <v>130</v>
      </c>
      <c r="E5" s="8">
        <v>46324</v>
      </c>
      <c r="F5">
        <v>3885</v>
      </c>
      <c r="G5">
        <v>0</v>
      </c>
      <c r="H5" s="8">
        <v>46324</v>
      </c>
      <c r="I5" s="9">
        <f>IF(A5="","",SUMIFS($F$5:F5,$D$5:D5,D5)-SUMIFS($G$5:G5,$D$5:D5,D5))</f>
      </c>
      <c r="J5" s="12">
        <f>IF(H5="","",EDATE(H5,3))</f>
      </c>
    </row>
    <row r="6" spans="1:10" x14ac:dyDescent="0.25">
      <c r="A6" t="s">
        <v>171</v>
      </c>
      <c r="B6" t="s">
        <v>136</v>
      </c>
      <c r="C6" t="s">
        <v>138</v>
      </c>
      <c r="D6" t="s">
        <v>137</v>
      </c>
      <c r="E6" s="8">
        <v>46324</v>
      </c>
      <c r="F6">
        <v>1125</v>
      </c>
      <c r="G6">
        <v>0</v>
      </c>
      <c r="H6" s="8">
        <v>46218</v>
      </c>
      <c r="I6" s="9">
        <f>IF(A6="","",SUMIFS($F$5:F6,$D$5:D6,D6)-SUMIFS($G$5:G6,$D$5:D6,D6))</f>
      </c>
      <c r="J6" s="12">
        <f>IF(H6="","",EDATE(H6,3))</f>
      </c>
    </row>
    <row r="7" spans="1:10" x14ac:dyDescent="0.25">
      <c r="A7" t="s">
        <v>172</v>
      </c>
      <c r="C7" t="s">
        <v>135</v>
      </c>
      <c r="D7" t="s">
        <v>134</v>
      </c>
      <c r="E7" s="8">
        <v>46263</v>
      </c>
      <c r="F7">
        <v>300</v>
      </c>
      <c r="G7">
        <v>0</v>
      </c>
      <c r="I7" s="9">
        <f>IF(A7="","",SUMIFS($F$5:F7,$D$5:D7,D7)-SUMIFS($G$5:G7,$D$5:D7,D7))</f>
      </c>
      <c r="J7" s="12">
        <f>IF(H7="","",EDATE(H7,3))</f>
      </c>
    </row>
    <row r="8" spans="1:10" x14ac:dyDescent="0.25">
      <c r="I8" s="9">
        <f>IF(A8="","",SUMIFS($F$5:F8,$D$5:D8,D8)-SUMIFS($G$5:G8,$D$5:D8,D8))</f>
      </c>
      <c r="J8" s="12">
        <f>IF(H8="","",EDATE(H8,3))</f>
      </c>
    </row>
    <row r="9" spans="1:10" x14ac:dyDescent="0.25">
      <c r="I9" s="9">
        <f>IF(A9="","",SUMIFS($F$5:F9,$D$5:D9,D9)-SUMIFS($G$5:G9,$D$5:D9,D9))</f>
      </c>
      <c r="J9" s="12">
        <f>IF(H9="","",EDATE(H9,3))</f>
      </c>
    </row>
    <row r="10" spans="1:10" x14ac:dyDescent="0.25">
      <c r="I10" s="9">
        <f>IF(A10="","",SUMIFS($F$5:F10,$D$5:D10,D10)-SUMIFS($G$5:G10,$D$5:D10,D10))</f>
      </c>
      <c r="J10" s="12">
        <f>IF(H10="","",EDATE(H10,3))</f>
      </c>
    </row>
    <row r="11" spans="1:10" x14ac:dyDescent="0.25">
      <c r="I11" s="9">
        <f>IF(A11="","",SUMIFS($F$5:F11,$D$5:D11,D11)-SUMIFS($G$5:G11,$D$5:D11,D11))</f>
      </c>
      <c r="J11" s="12">
        <f>IF(H11="","",EDATE(H11,3))</f>
      </c>
    </row>
    <row r="12" spans="1:10" x14ac:dyDescent="0.25">
      <c r="I12" s="9">
        <f>IF(A12="","",SUMIFS($F$5:F12,$D$5:D12,D12)-SUMIFS($G$5:G12,$D$5:D12,D12))</f>
      </c>
      <c r="J12" s="12">
        <f>IF(H12="","",EDATE(H12,3))</f>
      </c>
    </row>
    <row r="13" spans="1:10" x14ac:dyDescent="0.25">
      <c r="I13" s="9">
        <f>IF(A13="","",SUMIFS($F$5:F13,$D$5:D13,D13)-SUMIFS($G$5:G13,$D$5:D13,D13))</f>
      </c>
      <c r="J13" s="12">
        <f>IF(H13="","",EDATE(H13,3))</f>
      </c>
    </row>
    <row r="14" spans="1:10" x14ac:dyDescent="0.25">
      <c r="I14" s="9">
        <f>IF(A14="","",SUMIFS($F$5:F14,$D$5:D14,D14)-SUMIFS($G$5:G14,$D$5:D14,D14))</f>
      </c>
      <c r="J14" s="12">
        <f>IF(H14="","",EDATE(H14,3))</f>
      </c>
    </row>
    <row r="15" spans="1:10" x14ac:dyDescent="0.25">
      <c r="I15" s="9">
        <f>IF(A15="","",SUMIFS($F$5:F15,$D$5:D15,D15)-SUMIFS($G$5:G15,$D$5:D15,D15))</f>
      </c>
      <c r="J15" s="12">
        <f>IF(H15="","",EDATE(H15,3))</f>
      </c>
    </row>
    <row r="16" spans="1:10" x14ac:dyDescent="0.25">
      <c r="I16" s="9">
        <f>IF(A16="","",SUMIFS($F$5:F16,$D$5:D16,D16)-SUMIFS($G$5:G16,$D$5:D16,D16))</f>
      </c>
      <c r="J16" s="12">
        <f>IF(H16="","",EDATE(H16,3))</f>
      </c>
    </row>
    <row r="17" spans="1:10" x14ac:dyDescent="0.25">
      <c r="I17" s="9">
        <f>IF(A17="","",SUMIFS($F$5:F17,$D$5:D17,D17)-SUMIFS($G$5:G17,$D$5:D17,D17))</f>
      </c>
      <c r="J17" s="12">
        <f>IF(H17="","",EDATE(H17,3))</f>
      </c>
    </row>
    <row r="18" spans="1:10" x14ac:dyDescent="0.25">
      <c r="I18" s="9">
        <f>IF(A18="","",SUMIFS($F$5:F18,$D$5:D18,D18)-SUMIFS($G$5:G18,$D$5:D18,D18))</f>
      </c>
      <c r="J18" s="12">
        <f>IF(H18="","",EDATE(H18,3))</f>
      </c>
    </row>
    <row r="19" spans="1:10" x14ac:dyDescent="0.25">
      <c r="I19" s="9">
        <f>IF(A19="","",SUMIFS($F$5:F19,$D$5:D19,D19)-SUMIFS($G$5:G19,$D$5:D19,D19))</f>
      </c>
      <c r="J19" s="12">
        <f>IF(H19="","",EDATE(H19,3))</f>
      </c>
    </row>
    <row r="20" spans="1:10" x14ac:dyDescent="0.25">
      <c r="I20" s="9">
        <f>IF(A20="","",SUMIFS($F$5:F20,$D$5:D20,D20)-SUMIFS($G$5:G20,$D$5:D20,D20))</f>
      </c>
      <c r="J20" s="12">
        <f>IF(H20="","",EDATE(H20,3))</f>
      </c>
    </row>
    <row r="21" spans="1:10" x14ac:dyDescent="0.25">
      <c r="I21" s="9">
        <f>IF(A21="","",SUMIFS($F$5:F21,$D$5:D21,D21)-SUMIFS($G$5:G21,$D$5:D21,D21))</f>
      </c>
      <c r="J21" s="12">
        <f>IF(H21="","",EDATE(H21,3))</f>
      </c>
    </row>
    <row r="22" spans="1:10" x14ac:dyDescent="0.25">
      <c r="I22" s="9">
        <f>IF(A22="","",SUMIFS($F$5:F22,$D$5:D22,D22)-SUMIFS($G$5:G22,$D$5:D22,D22))</f>
      </c>
      <c r="J22" s="12">
        <f>IF(H22="","",EDATE(H22,3))</f>
      </c>
    </row>
    <row r="23" spans="1:10" x14ac:dyDescent="0.25">
      <c r="I23" s="9">
        <f>IF(A23="","",SUMIFS($F$5:F23,$D$5:D23,D23)-SUMIFS($G$5:G23,$D$5:D23,D23))</f>
      </c>
      <c r="J23" s="12">
        <f>IF(H23="","",EDATE(H23,3))</f>
      </c>
    </row>
    <row r="24" spans="1:10" x14ac:dyDescent="0.25">
      <c r="I24" s="9">
        <f>IF(A24="","",SUMIFS($F$5:F24,$D$5:D24,D24)-SUMIFS($G$5:G24,$D$5:D24,D24))</f>
      </c>
      <c r="J24" s="12">
        <f>IF(H24="","",EDATE(H24,3))</f>
      </c>
    </row>
    <row r="25" spans="1:10" x14ac:dyDescent="0.25">
      <c r="I25" s="9">
        <f>IF(A25="","",SUMIFS($F$5:F25,$D$5:D25,D25)-SUMIFS($G$5:G25,$D$5:D25,D25))</f>
      </c>
      <c r="J25" s="12">
        <f>IF(H25="","",EDATE(H25,3))</f>
      </c>
    </row>
    <row r="26" spans="1:10" x14ac:dyDescent="0.25">
      <c r="I26" s="9">
        <f>IF(A26="","",SUMIFS($F$5:F26,$D$5:D26,D26)-SUMIFS($G$5:G26,$D$5:D26,D26))</f>
      </c>
      <c r="J26" s="12">
        <f>IF(H26="","",EDATE(H26,3))</f>
      </c>
    </row>
    <row r="27" spans="1:10" x14ac:dyDescent="0.25">
      <c r="I27" s="9">
        <f>IF(A27="","",SUMIFS($F$5:F27,$D$5:D27,D27)-SUMIFS($G$5:G27,$D$5:D27,D27))</f>
      </c>
      <c r="J27" s="12">
        <f>IF(H27="","",EDATE(H27,3))</f>
      </c>
    </row>
    <row r="28" spans="1:10" x14ac:dyDescent="0.25">
      <c r="I28" s="9">
        <f>IF(A28="","",SUMIFS($F$5:F28,$D$5:D28,D28)-SUMIFS($G$5:G28,$D$5:D28,D28))</f>
      </c>
      <c r="J28" s="12">
        <f>IF(H28="","",EDATE(H28,3))</f>
      </c>
    </row>
    <row r="29" spans="1:10" x14ac:dyDescent="0.25">
      <c r="I29" s="9">
        <f>IF(A29="","",SUMIFS($F$5:F29,$D$5:D29,D29)-SUMIFS($G$5:G29,$D$5:D29,D29))</f>
      </c>
      <c r="J29" s="12">
        <f>IF(H29="","",EDATE(H29,3))</f>
      </c>
    </row>
    <row r="30" spans="1:10" x14ac:dyDescent="0.25">
      <c r="I30" s="9">
        <f>IF(A30="","",SUMIFS($F$5:F30,$D$5:D30,D30)-SUMIFS($G$5:G30,$D$5:D30,D30))</f>
      </c>
      <c r="J30" s="12">
        <f>IF(H30="","",EDATE(H30,3))</f>
      </c>
    </row>
    <row r="31" spans="1:10" x14ac:dyDescent="0.25">
      <c r="I31" s="9">
        <f>IF(A31="","",SUMIFS($F$5:F31,$D$5:D31,D31)-SUMIFS($G$5:G31,$D$5:D31,D31))</f>
      </c>
      <c r="J31" s="12">
        <f>IF(H31="","",EDATE(H31,3))</f>
      </c>
    </row>
    <row r="32" spans="1:10" x14ac:dyDescent="0.25">
      <c r="I32" s="9">
        <f>IF(A32="","",SUMIFS($F$5:F32,$D$5:D32,D32)-SUMIFS($G$5:G32,$D$5:D32,D32))</f>
      </c>
      <c r="J32" s="12">
        <f>IF(H32="","",EDATE(H32,3))</f>
      </c>
    </row>
    <row r="33" spans="1:10" x14ac:dyDescent="0.25">
      <c r="I33" s="9">
        <f>IF(A33="","",SUMIFS($F$5:F33,$D$5:D33,D33)-SUMIFS($G$5:G33,$D$5:D33,D33))</f>
      </c>
      <c r="J33" s="12">
        <f>IF(H33="","",EDATE(H33,3))</f>
      </c>
    </row>
    <row r="34" spans="1:10" x14ac:dyDescent="0.25">
      <c r="I34" s="9">
        <f>IF(A34="","",SUMIFS($F$5:F34,$D$5:D34,D34)-SUMIFS($G$5:G34,$D$5:D34,D34))</f>
      </c>
      <c r="J34" s="12">
        <f>IF(H34="","",EDATE(H34,3))</f>
      </c>
    </row>
    <row r="35" spans="1:10" x14ac:dyDescent="0.25">
      <c r="I35" s="9">
        <f>IF(A35="","",SUMIFS($F$5:F35,$D$5:D35,D35)-SUMIFS($G$5:G35,$D$5:D35,D35))</f>
      </c>
      <c r="J35" s="12">
        <f>IF(H35="","",EDATE(H35,3))</f>
      </c>
    </row>
    <row r="36" spans="1:10" x14ac:dyDescent="0.25">
      <c r="I36" s="9">
        <f>IF(A36="","",SUMIFS($F$5:F36,$D$5:D36,D36)-SUMIFS($G$5:G36,$D$5:D36,D36))</f>
      </c>
      <c r="J36" s="12">
        <f>IF(H36="","",EDATE(H36,3))</f>
      </c>
    </row>
    <row r="37" spans="1:10" x14ac:dyDescent="0.25">
      <c r="I37" s="9">
        <f>IF(A37="","",SUMIFS($F$5:F37,$D$5:D37,D37)-SUMIFS($G$5:G37,$D$5:D37,D37))</f>
      </c>
      <c r="J37" s="12">
        <f>IF(H37="","",EDATE(H37,3))</f>
      </c>
    </row>
    <row r="38" spans="1:10" x14ac:dyDescent="0.25">
      <c r="I38" s="9">
        <f>IF(A38="","",SUMIFS($F$5:F38,$D$5:D38,D38)-SUMIFS($G$5:G38,$D$5:D38,D38))</f>
      </c>
      <c r="J38" s="12">
        <f>IF(H38="","",EDATE(H38,3))</f>
      </c>
    </row>
    <row r="39" spans="1:10" x14ac:dyDescent="0.25">
      <c r="I39" s="9">
        <f>IF(A39="","",SUMIFS($F$5:F39,$D$5:D39,D39)-SUMIFS($G$5:G39,$D$5:D39,D39))</f>
      </c>
      <c r="J39" s="12">
        <f>IF(H39="","",EDATE(H39,3))</f>
      </c>
    </row>
    <row r="40" spans="1:10" x14ac:dyDescent="0.25">
      <c r="I40" s="9">
        <f>IF(A40="","",SUMIFS($F$5:F40,$D$5:D40,D40)-SUMIFS($G$5:G40,$D$5:D40,D40))</f>
      </c>
      <c r="J40" s="12">
        <f>IF(H40="","",EDATE(H40,3))</f>
      </c>
    </row>
    <row r="41" spans="1:10" x14ac:dyDescent="0.25">
      <c r="I41" s="9">
        <f>IF(A41="","",SUMIFS($F$5:F41,$D$5:D41,D41)-SUMIFS($G$5:G41,$D$5:D41,D41))</f>
      </c>
      <c r="J41" s="12">
        <f>IF(H41="","",EDATE(H41,3))</f>
      </c>
    </row>
    <row r="42" spans="1:10" x14ac:dyDescent="0.25">
      <c r="I42" s="9">
        <f>IF(A42="","",SUMIFS($F$5:F42,$D$5:D42,D42)-SUMIFS($G$5:G42,$D$5:D42,D42))</f>
      </c>
      <c r="J42" s="12">
        <f>IF(H42="","",EDATE(H42,3))</f>
      </c>
    </row>
    <row r="43" spans="1:10" x14ac:dyDescent="0.25">
      <c r="I43" s="9">
        <f>IF(A43="","",SUMIFS($F$5:F43,$D$5:D43,D43)-SUMIFS($G$5:G43,$D$5:D43,D43))</f>
      </c>
      <c r="J43" s="12">
        <f>IF(H43="","",EDATE(H43,3))</f>
      </c>
    </row>
    <row r="44" spans="1:10" x14ac:dyDescent="0.25">
      <c r="I44" s="9">
        <f>IF(A44="","",SUMIFS($F$5:F44,$D$5:D44,D44)-SUMIFS($G$5:G44,$D$5:D44,D44))</f>
      </c>
      <c r="J44" s="12">
        <f>IF(H44="","",EDATE(H44,3))</f>
      </c>
    </row>
    <row r="45" spans="1:10" x14ac:dyDescent="0.25">
      <c r="I45" s="9">
        <f>IF(A45="","",SUMIFS($F$5:F45,$D$5:D45,D45)-SUMIFS($G$5:G45,$D$5:D45,D45))</f>
      </c>
      <c r="J45" s="12">
        <f>IF(H45="","",EDATE(H45,3))</f>
      </c>
    </row>
    <row r="46" spans="1:10" x14ac:dyDescent="0.25">
      <c r="I46" s="9">
        <f>IF(A46="","",SUMIFS($F$5:F46,$D$5:D46,D46)-SUMIFS($G$5:G46,$D$5:D46,D46))</f>
      </c>
      <c r="J46" s="12">
        <f>IF(H46="","",EDATE(H46,3))</f>
      </c>
    </row>
    <row r="47" spans="1:10" x14ac:dyDescent="0.25">
      <c r="I47" s="9">
        <f>IF(A47="","",SUMIFS($F$5:F47,$D$5:D47,D47)-SUMIFS($G$5:G47,$D$5:D47,D47))</f>
      </c>
      <c r="J47" s="12">
        <f>IF(H47="","",EDATE(H47,3))</f>
      </c>
    </row>
    <row r="49" spans="1:1" s="2" customFormat="1" x14ac:dyDescent="0.25">
      <c r="A49" s="2" t="s">
        <v>32</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workbookViewId="0">
      <pane xSplit="1" ySplit="4" topLeftCell="B5" activePane="bottomRight" state="frozen"/>
      <selection pane="bottomRight"/>
    </sheetView>
  </sheetViews>
  <sheetFormatPr defaultRowHeight="15" outlineLevelRow="0" outlineLevelCol="0" x14ac:dyDescent="55"/>
  <cols>
    <col min="1" max="2" width="11" customWidth="1"/>
    <col min="3" max="3" width="13" customWidth="1"/>
    <col min="4" max="4" width="19" customWidth="1"/>
    <col min="5" max="8" width="11" customWidth="1"/>
    <col min="9" max="9" width="12" customWidth="1"/>
    <col min="10" max="10" width="19" customWidth="1"/>
    <col min="11" max="13" width="11" customWidth="1"/>
    <col min="14" max="14" width="13" customWidth="1"/>
    <col min="15" max="17" width="11" customWidth="1"/>
    <col min="18" max="18" width="17" customWidth="1"/>
    <col min="19" max="19" width="11" customWidth="1"/>
  </cols>
  <sheetData>
    <row r="1" spans="1:1" s="1" customFormat="1" x14ac:dyDescent="0.25">
      <c r="A1" s="1" t="s">
        <v>173</v>
      </c>
    </row>
    <row r="2" spans="1:1" s="2" customFormat="1" x14ac:dyDescent="0.25">
      <c r="A2" s="2" t="s">
        <v>174</v>
      </c>
    </row>
    <row r="4" spans="1:19" s="3" customFormat="1" x14ac:dyDescent="0.25">
      <c r="A4" s="7" t="s">
        <v>175</v>
      </c>
      <c r="B4" s="7" t="s">
        <v>176</v>
      </c>
      <c r="C4" s="7" t="s">
        <v>36</v>
      </c>
      <c r="D4" s="7" t="s">
        <v>177</v>
      </c>
      <c r="E4" s="7" t="s">
        <v>178</v>
      </c>
      <c r="F4" s="7" t="s">
        <v>179</v>
      </c>
      <c r="G4" s="7" t="s">
        <v>127</v>
      </c>
      <c r="H4" s="7" t="s">
        <v>180</v>
      </c>
      <c r="I4" s="7" t="s">
        <v>181</v>
      </c>
      <c r="J4" s="7" t="s">
        <v>182</v>
      </c>
      <c r="K4" s="7" t="s">
        <v>69</v>
      </c>
      <c r="L4" s="7" t="s">
        <v>108</v>
      </c>
      <c r="M4" s="7" t="s">
        <v>96</v>
      </c>
      <c r="N4" s="7" t="s">
        <v>183</v>
      </c>
      <c r="O4" s="7" t="s">
        <v>184</v>
      </c>
      <c r="P4" s="7" t="s">
        <v>35</v>
      </c>
      <c r="Q4" s="7" t="s">
        <v>66</v>
      </c>
      <c r="R4" s="7" t="s">
        <v>185</v>
      </c>
      <c r="S4" s="7" t="s">
        <v>186</v>
      </c>
    </row>
    <row r="5" spans="1:19" x14ac:dyDescent="0.25">
      <c r="A5" t="s">
        <v>187</v>
      </c>
      <c r="B5" t="s">
        <v>188</v>
      </c>
      <c r="C5" t="s">
        <v>189</v>
      </c>
      <c r="D5" t="s">
        <v>190</v>
      </c>
      <c r="E5" s="8">
        <v>46297</v>
      </c>
      <c r="F5" s="8">
        <v>46304</v>
      </c>
      <c r="G5" t="s">
        <v>179</v>
      </c>
      <c r="H5">
        <v>1850</v>
      </c>
      <c r="I5">
        <v>1850</v>
      </c>
      <c r="L5" t="s">
        <v>129</v>
      </c>
      <c r="N5" s="8">
        <v>46297</v>
      </c>
      <c r="O5" t="s">
        <v>191</v>
      </c>
      <c r="P5" t="s">
        <v>51</v>
      </c>
      <c r="Q5" t="s">
        <v>80</v>
      </c>
      <c r="R5" s="10">
        <f>IF(A5="","",IF(N5="","No notice date","Yes"))</f>
      </c>
      <c r="S5" s="10">
        <f>IF(OR(A5="",O5=""),"",IF(COUNTIF('RFIs'!$A:$A,O5)&gt;0,"Yes","Not in RFIs"))</f>
      </c>
    </row>
    <row r="6" spans="1:19" x14ac:dyDescent="0.25">
      <c r="A6" t="s">
        <v>192</v>
      </c>
      <c r="B6" t="s">
        <v>188</v>
      </c>
      <c r="C6" t="s">
        <v>193</v>
      </c>
      <c r="D6" t="s">
        <v>194</v>
      </c>
      <c r="E6" s="8">
        <v>46308</v>
      </c>
      <c r="G6" t="s">
        <v>195</v>
      </c>
      <c r="H6">
        <v>640</v>
      </c>
      <c r="L6" t="s">
        <v>129</v>
      </c>
      <c r="O6" t="s">
        <v>196</v>
      </c>
      <c r="P6" t="s">
        <v>55</v>
      </c>
      <c r="R6" s="10">
        <f>IF(A6="","",IF(N6="","No notice date","Yes"))</f>
      </c>
      <c r="S6" s="10">
        <f>IF(OR(A6="",O6=""),"",IF(COUNTIF('RFIs'!$A:$A,O6)&gt;0,"Yes","Not in RFIs"))</f>
      </c>
    </row>
    <row r="7" spans="1:19" x14ac:dyDescent="0.25">
      <c r="R7" s="10">
        <f>IF(A7="","",IF(N7="","No notice date","Yes"))</f>
      </c>
      <c r="S7" s="10">
        <f>IF(OR(A7="",O7=""),"",IF(COUNTIF('RFIs'!$A:$A,O7)&gt;0,"Yes","Not in RFIs"))</f>
      </c>
    </row>
    <row r="8" spans="1:19" x14ac:dyDescent="0.25">
      <c r="R8" s="10">
        <f>IF(A8="","",IF(N8="","No notice date","Yes"))</f>
      </c>
      <c r="S8" s="10">
        <f>IF(OR(A8="",O8=""),"",IF(COUNTIF('RFIs'!$A:$A,O8)&gt;0,"Yes","Not in RFIs"))</f>
      </c>
    </row>
    <row r="9" spans="1:19" x14ac:dyDescent="0.25">
      <c r="R9" s="10">
        <f>IF(A9="","",IF(N9="","No notice date","Yes"))</f>
      </c>
      <c r="S9" s="10">
        <f>IF(OR(A9="",O9=""),"",IF(COUNTIF('RFIs'!$A:$A,O9)&gt;0,"Yes","Not in RFIs"))</f>
      </c>
    </row>
    <row r="10" spans="1:19" x14ac:dyDescent="0.25">
      <c r="R10" s="10">
        <f>IF(A10="","",IF(N10="","No notice date","Yes"))</f>
      </c>
      <c r="S10" s="10">
        <f>IF(OR(A10="",O10=""),"",IF(COUNTIF('RFIs'!$A:$A,O10)&gt;0,"Yes","Not in RFIs"))</f>
      </c>
    </row>
    <row r="11" spans="1:19" x14ac:dyDescent="0.25">
      <c r="R11" s="10">
        <f>IF(A11="","",IF(N11="","No notice date","Yes"))</f>
      </c>
      <c r="S11" s="10">
        <f>IF(OR(A11="",O11=""),"",IF(COUNTIF('RFIs'!$A:$A,O11)&gt;0,"Yes","Not in RFIs"))</f>
      </c>
    </row>
    <row r="12" spans="1:19" x14ac:dyDescent="0.25">
      <c r="R12" s="10">
        <f>IF(A12="","",IF(N12="","No notice date","Yes"))</f>
      </c>
      <c r="S12" s="10">
        <f>IF(OR(A12="",O12=""),"",IF(COUNTIF('RFIs'!$A:$A,O12)&gt;0,"Yes","Not in RFIs"))</f>
      </c>
    </row>
    <row r="13" spans="1:19" x14ac:dyDescent="0.25">
      <c r="R13" s="10">
        <f>IF(A13="","",IF(N13="","No notice date","Yes"))</f>
      </c>
      <c r="S13" s="10">
        <f>IF(OR(A13="",O13=""),"",IF(COUNTIF('RFIs'!$A:$A,O13)&gt;0,"Yes","Not in RFIs"))</f>
      </c>
    </row>
    <row r="14" spans="1:19" x14ac:dyDescent="0.25">
      <c r="R14" s="10">
        <f>IF(A14="","",IF(N14="","No notice date","Yes"))</f>
      </c>
      <c r="S14" s="10">
        <f>IF(OR(A14="",O14=""),"",IF(COUNTIF('RFIs'!$A:$A,O14)&gt;0,"Yes","Not in RFIs"))</f>
      </c>
    </row>
    <row r="15" spans="1:19" x14ac:dyDescent="0.25">
      <c r="R15" s="10">
        <f>IF(A15="","",IF(N15="","No notice date","Yes"))</f>
      </c>
      <c r="S15" s="10">
        <f>IF(OR(A15="",O15=""),"",IF(COUNTIF('RFIs'!$A:$A,O15)&gt;0,"Yes","Not in RFIs"))</f>
      </c>
    </row>
    <row r="16" spans="1:19" x14ac:dyDescent="0.25">
      <c r="R16" s="10">
        <f>IF(A16="","",IF(N16="","No notice date","Yes"))</f>
      </c>
      <c r="S16" s="10">
        <f>IF(OR(A16="",O16=""),"",IF(COUNTIF('RFIs'!$A:$A,O16)&gt;0,"Yes","Not in RFIs"))</f>
      </c>
    </row>
    <row r="17" spans="1:19" x14ac:dyDescent="0.25">
      <c r="R17" s="10">
        <f>IF(A17="","",IF(N17="","No notice date","Yes"))</f>
      </c>
      <c r="S17" s="10">
        <f>IF(OR(A17="",O17=""),"",IF(COUNTIF('RFIs'!$A:$A,O17)&gt;0,"Yes","Not in RFIs"))</f>
      </c>
    </row>
    <row r="18" spans="1:19" x14ac:dyDescent="0.25">
      <c r="R18" s="10">
        <f>IF(A18="","",IF(N18="","No notice date","Yes"))</f>
      </c>
      <c r="S18" s="10">
        <f>IF(OR(A18="",O18=""),"",IF(COUNTIF('RFIs'!$A:$A,O18)&gt;0,"Yes","Not in RFIs"))</f>
      </c>
    </row>
    <row r="19" spans="1:19" x14ac:dyDescent="0.25">
      <c r="R19" s="10">
        <f>IF(A19="","",IF(N19="","No notice date","Yes"))</f>
      </c>
      <c r="S19" s="10">
        <f>IF(OR(A19="",O19=""),"",IF(COUNTIF('RFIs'!$A:$A,O19)&gt;0,"Yes","Not in RFIs"))</f>
      </c>
    </row>
    <row r="20" spans="1:19" x14ac:dyDescent="0.25">
      <c r="R20" s="10">
        <f>IF(A20="","",IF(N20="","No notice date","Yes"))</f>
      </c>
      <c r="S20" s="10">
        <f>IF(OR(A20="",O20=""),"",IF(COUNTIF('RFIs'!$A:$A,O20)&gt;0,"Yes","Not in RFIs"))</f>
      </c>
    </row>
    <row r="21" spans="1:19" x14ac:dyDescent="0.25">
      <c r="R21" s="10">
        <f>IF(A21="","",IF(N21="","No notice date","Yes"))</f>
      </c>
      <c r="S21" s="10">
        <f>IF(OR(A21="",O21=""),"",IF(COUNTIF('RFIs'!$A:$A,O21)&gt;0,"Yes","Not in RFIs"))</f>
      </c>
    </row>
    <row r="22" spans="1:19" x14ac:dyDescent="0.25">
      <c r="R22" s="10">
        <f>IF(A22="","",IF(N22="","No notice date","Yes"))</f>
      </c>
      <c r="S22" s="10">
        <f>IF(OR(A22="",O22=""),"",IF(COUNTIF('RFIs'!$A:$A,O22)&gt;0,"Yes","Not in RFIs"))</f>
      </c>
    </row>
    <row r="23" spans="1:19" x14ac:dyDescent="0.25">
      <c r="R23" s="10">
        <f>IF(A23="","",IF(N23="","No notice date","Yes"))</f>
      </c>
      <c r="S23" s="10">
        <f>IF(OR(A23="",O23=""),"",IF(COUNTIF('RFIs'!$A:$A,O23)&gt;0,"Yes","Not in RFIs"))</f>
      </c>
    </row>
    <row r="24" spans="1:19" x14ac:dyDescent="0.25">
      <c r="R24" s="10">
        <f>IF(A24="","",IF(N24="","No notice date","Yes"))</f>
      </c>
      <c r="S24" s="10">
        <f>IF(OR(A24="",O24=""),"",IF(COUNTIF('RFIs'!$A:$A,O24)&gt;0,"Yes","Not in RFIs"))</f>
      </c>
    </row>
    <row r="25" spans="1:19" x14ac:dyDescent="0.25">
      <c r="R25" s="10">
        <f>IF(A25="","",IF(N25="","No notice date","Yes"))</f>
      </c>
      <c r="S25" s="10">
        <f>IF(OR(A25="",O25=""),"",IF(COUNTIF('RFIs'!$A:$A,O25)&gt;0,"Yes","Not in RFIs"))</f>
      </c>
    </row>
    <row r="26" spans="1:19" x14ac:dyDescent="0.25">
      <c r="R26" s="10">
        <f>IF(A26="","",IF(N26="","No notice date","Yes"))</f>
      </c>
      <c r="S26" s="10">
        <f>IF(OR(A26="",O26=""),"",IF(COUNTIF('RFIs'!$A:$A,O26)&gt;0,"Yes","Not in RFIs"))</f>
      </c>
    </row>
    <row r="27" spans="1:19" x14ac:dyDescent="0.25">
      <c r="R27" s="10">
        <f>IF(A27="","",IF(N27="","No notice date","Yes"))</f>
      </c>
      <c r="S27" s="10">
        <f>IF(OR(A27="",O27=""),"",IF(COUNTIF('RFIs'!$A:$A,O27)&gt;0,"Yes","Not in RFIs"))</f>
      </c>
    </row>
    <row r="28" spans="1:19" x14ac:dyDescent="0.25">
      <c r="R28" s="10">
        <f>IF(A28="","",IF(N28="","No notice date","Yes"))</f>
      </c>
      <c r="S28" s="10">
        <f>IF(OR(A28="",O28=""),"",IF(COUNTIF('RFIs'!$A:$A,O28)&gt;0,"Yes","Not in RFIs"))</f>
      </c>
    </row>
    <row r="29" spans="1:19" x14ac:dyDescent="0.25">
      <c r="R29" s="10">
        <f>IF(A29="","",IF(N29="","No notice date","Yes"))</f>
      </c>
      <c r="S29" s="10">
        <f>IF(OR(A29="",O29=""),"",IF(COUNTIF('RFIs'!$A:$A,O29)&gt;0,"Yes","Not in RFIs"))</f>
      </c>
    </row>
    <row r="30" spans="1:19" x14ac:dyDescent="0.25">
      <c r="R30" s="10">
        <f>IF(A30="","",IF(N30="","No notice date","Yes"))</f>
      </c>
      <c r="S30" s="10">
        <f>IF(OR(A30="",O30=""),"",IF(COUNTIF('RFIs'!$A:$A,O30)&gt;0,"Yes","Not in RFIs"))</f>
      </c>
    </row>
    <row r="31" spans="1:19" x14ac:dyDescent="0.25">
      <c r="R31" s="10">
        <f>IF(A31="","",IF(N31="","No notice date","Yes"))</f>
      </c>
      <c r="S31" s="10">
        <f>IF(OR(A31="",O31=""),"",IF(COUNTIF('RFIs'!$A:$A,O31)&gt;0,"Yes","Not in RFIs"))</f>
      </c>
    </row>
    <row r="32" spans="1:19" x14ac:dyDescent="0.25">
      <c r="R32" s="10">
        <f>IF(A32="","",IF(N32="","No notice date","Yes"))</f>
      </c>
      <c r="S32" s="10">
        <f>IF(OR(A32="",O32=""),"",IF(COUNTIF('RFIs'!$A:$A,O32)&gt;0,"Yes","Not in RFIs"))</f>
      </c>
    </row>
    <row r="33" spans="1:19" x14ac:dyDescent="0.25">
      <c r="R33" s="10">
        <f>IF(A33="","",IF(N33="","No notice date","Yes"))</f>
      </c>
      <c r="S33" s="10">
        <f>IF(OR(A33="",O33=""),"",IF(COUNTIF('RFIs'!$A:$A,O33)&gt;0,"Yes","Not in RFIs"))</f>
      </c>
    </row>
    <row r="34" spans="1:19" x14ac:dyDescent="0.25">
      <c r="R34" s="10">
        <f>IF(A34="","",IF(N34="","No notice date","Yes"))</f>
      </c>
      <c r="S34" s="10">
        <f>IF(OR(A34="",O34=""),"",IF(COUNTIF('RFIs'!$A:$A,O34)&gt;0,"Yes","Not in RFIs"))</f>
      </c>
    </row>
    <row r="35" spans="1:19" x14ac:dyDescent="0.25">
      <c r="R35" s="10">
        <f>IF(A35="","",IF(N35="","No notice date","Yes"))</f>
      </c>
      <c r="S35" s="10">
        <f>IF(OR(A35="",O35=""),"",IF(COUNTIF('RFIs'!$A:$A,O35)&gt;0,"Yes","Not in RFIs"))</f>
      </c>
    </row>
    <row r="36" spans="1:19" x14ac:dyDescent="0.25">
      <c r="R36" s="10">
        <f>IF(A36="","",IF(N36="","No notice date","Yes"))</f>
      </c>
      <c r="S36" s="10">
        <f>IF(OR(A36="",O36=""),"",IF(COUNTIF('RFIs'!$A:$A,O36)&gt;0,"Yes","Not in RFIs"))</f>
      </c>
    </row>
    <row r="37" spans="1:19" x14ac:dyDescent="0.25">
      <c r="R37" s="10">
        <f>IF(A37="","",IF(N37="","No notice date","Yes"))</f>
      </c>
      <c r="S37" s="10">
        <f>IF(OR(A37="",O37=""),"",IF(COUNTIF('RFIs'!$A:$A,O37)&gt;0,"Yes","Not in RFIs"))</f>
      </c>
    </row>
    <row r="38" spans="1:19" x14ac:dyDescent="0.25">
      <c r="R38" s="10">
        <f>IF(A38="","",IF(N38="","No notice date","Yes"))</f>
      </c>
      <c r="S38" s="10">
        <f>IF(OR(A38="",O38=""),"",IF(COUNTIF('RFIs'!$A:$A,O38)&gt;0,"Yes","Not in RFIs"))</f>
      </c>
    </row>
    <row r="39" spans="1:19" x14ac:dyDescent="0.25">
      <c r="R39" s="10">
        <f>IF(A39="","",IF(N39="","No notice date","Yes"))</f>
      </c>
      <c r="S39" s="10">
        <f>IF(OR(A39="",O39=""),"",IF(COUNTIF('RFIs'!$A:$A,O39)&gt;0,"Yes","Not in RFIs"))</f>
      </c>
    </row>
    <row r="40" spans="1:19" x14ac:dyDescent="0.25">
      <c r="R40" s="10">
        <f>IF(A40="","",IF(N40="","No notice date","Yes"))</f>
      </c>
      <c r="S40" s="10">
        <f>IF(OR(A40="",O40=""),"",IF(COUNTIF('RFIs'!$A:$A,O40)&gt;0,"Yes","Not in RFIs"))</f>
      </c>
    </row>
    <row r="41" spans="1:19" x14ac:dyDescent="0.25">
      <c r="R41" s="10">
        <f>IF(A41="","",IF(N41="","No notice date","Yes"))</f>
      </c>
      <c r="S41" s="10">
        <f>IF(OR(A41="",O41=""),"",IF(COUNTIF('RFIs'!$A:$A,O41)&gt;0,"Yes","Not in RFIs"))</f>
      </c>
    </row>
    <row r="42" spans="1:19" x14ac:dyDescent="0.25">
      <c r="R42" s="10">
        <f>IF(A42="","",IF(N42="","No notice date","Yes"))</f>
      </c>
      <c r="S42" s="10">
        <f>IF(OR(A42="",O42=""),"",IF(COUNTIF('RFIs'!$A:$A,O42)&gt;0,"Yes","Not in RFIs"))</f>
      </c>
    </row>
    <row r="43" spans="1:19" x14ac:dyDescent="0.25">
      <c r="R43" s="10">
        <f>IF(A43="","",IF(N43="","No notice date","Yes"))</f>
      </c>
      <c r="S43" s="10">
        <f>IF(OR(A43="",O43=""),"",IF(COUNTIF('RFIs'!$A:$A,O43)&gt;0,"Yes","Not in RFIs"))</f>
      </c>
    </row>
    <row r="44" spans="1:19" x14ac:dyDescent="0.25">
      <c r="R44" s="10">
        <f>IF(A44="","",IF(N44="","No notice date","Yes"))</f>
      </c>
      <c r="S44" s="10">
        <f>IF(OR(A44="",O44=""),"",IF(COUNTIF('RFIs'!$A:$A,O44)&gt;0,"Yes","Not in RFIs"))</f>
      </c>
    </row>
    <row r="45" spans="1:19" x14ac:dyDescent="0.25">
      <c r="R45" s="10">
        <f>IF(A45="","",IF(N45="","No notice date","Yes"))</f>
      </c>
      <c r="S45" s="10">
        <f>IF(OR(A45="",O45=""),"",IF(COUNTIF('RFIs'!$A:$A,O45)&gt;0,"Yes","Not in RFIs"))</f>
      </c>
    </row>
    <row r="46" spans="1:19" x14ac:dyDescent="0.25">
      <c r="R46" s="10">
        <f>IF(A46="","",IF(N46="","No notice date","Yes"))</f>
      </c>
      <c r="S46" s="10">
        <f>IF(OR(A46="",O46=""),"",IF(COUNTIF('RFIs'!$A:$A,O46)&gt;0,"Yes","Not in RFIs"))</f>
      </c>
    </row>
    <row r="48" spans="1:1" s="2" customFormat="1" x14ac:dyDescent="0.25">
      <c r="A48" s="2" t="s">
        <v>32</v>
      </c>
    </row>
  </sheetData>
  <dataValidations count="2">
    <dataValidation type="list" allowBlank="1" sqref="G10:G46">
      <formula1>"Submitted,Pending,Approved,Disputed,Withdrawn"</formula1>
    </dataValidation>
    <dataValidation type="list" allowBlank="1" sqref="G5:G46">
      <formula1>"Submitted,Pending,Approved,Disputed,Withdrawn"</formula1>
    </dataValidation>
  </dataValidation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workbookViewId="0">
      <pane xSplit="1" ySplit="4" topLeftCell="B5" activePane="bottomRight" state="frozen"/>
      <selection pane="bottomRight"/>
    </sheetView>
  </sheetViews>
  <sheetFormatPr defaultRowHeight="15" outlineLevelRow="0" outlineLevelCol="0" x14ac:dyDescent="55"/>
  <cols>
    <col min="1" max="1" width="11" customWidth="1"/>
    <col min="2" max="2" width="13" customWidth="1"/>
    <col min="3" max="6" width="11" customWidth="1"/>
    <col min="7" max="7" width="20" customWidth="1"/>
    <col min="8" max="8" width="15" customWidth="1"/>
    <col min="9" max="9" width="11" customWidth="1"/>
    <col min="10" max="10" width="14" customWidth="1"/>
    <col min="11" max="11" width="11" customWidth="1"/>
  </cols>
  <sheetData>
    <row r="1" spans="1:1" s="1" customFormat="1" x14ac:dyDescent="0.25">
      <c r="A1" s="1" t="s">
        <v>197</v>
      </c>
    </row>
    <row r="2" spans="1:1" s="2" customFormat="1" x14ac:dyDescent="0.25">
      <c r="A2" s="2" t="s">
        <v>198</v>
      </c>
    </row>
    <row r="4" spans="1:11" s="3" customFormat="1" x14ac:dyDescent="0.25">
      <c r="A4" s="7" t="s">
        <v>184</v>
      </c>
      <c r="B4" s="7" t="s">
        <v>199</v>
      </c>
      <c r="C4" s="7" t="s">
        <v>200</v>
      </c>
      <c r="D4" s="7" t="s">
        <v>201</v>
      </c>
      <c r="E4" s="7" t="s">
        <v>202</v>
      </c>
      <c r="F4" s="7" t="s">
        <v>35</v>
      </c>
      <c r="G4" s="7" t="s">
        <v>203</v>
      </c>
      <c r="H4" s="7" t="s">
        <v>204</v>
      </c>
      <c r="I4" s="7" t="s">
        <v>205</v>
      </c>
      <c r="J4" s="7" t="s">
        <v>206</v>
      </c>
      <c r="K4" s="7" t="s">
        <v>127</v>
      </c>
    </row>
    <row r="5" spans="1:11" x14ac:dyDescent="0.25">
      <c r="A5" t="s">
        <v>191</v>
      </c>
      <c r="B5" s="8">
        <v>46293</v>
      </c>
      <c r="C5" t="s">
        <v>77</v>
      </c>
      <c r="D5" t="s">
        <v>207</v>
      </c>
      <c r="E5" t="s">
        <v>208</v>
      </c>
      <c r="F5" t="s">
        <v>51</v>
      </c>
      <c r="G5" s="8">
        <v>46297</v>
      </c>
      <c r="H5" s="8">
        <v>46296</v>
      </c>
      <c r="I5" t="s">
        <v>209</v>
      </c>
      <c r="J5" t="s">
        <v>187</v>
      </c>
      <c r="K5" s="10">
        <f>IF(A5="","",IF(H5&lt;&gt;"","Answered",IF(AND(G5&lt;&gt;"",TODAY()&gt;G5),"Overdue: unanswered","Open")))</f>
      </c>
    </row>
    <row r="6" spans="1:11" x14ac:dyDescent="0.25">
      <c r="A6" t="s">
        <v>196</v>
      </c>
      <c r="B6" s="8">
        <v>46307</v>
      </c>
      <c r="C6" t="s">
        <v>134</v>
      </c>
      <c r="D6" t="s">
        <v>207</v>
      </c>
      <c r="E6" t="s">
        <v>210</v>
      </c>
      <c r="F6" t="s">
        <v>55</v>
      </c>
      <c r="G6" s="8">
        <v>46314</v>
      </c>
      <c r="J6" t="s">
        <v>192</v>
      </c>
      <c r="K6" s="10">
        <f>IF(A6="","",IF(H6&lt;&gt;"","Answered",IF(AND(G6&lt;&gt;"",TODAY()&gt;G6),"Overdue: unanswered","Open")))</f>
      </c>
    </row>
    <row r="7" spans="1:11" x14ac:dyDescent="0.25">
      <c r="A7" t="s">
        <v>211</v>
      </c>
      <c r="B7" s="8">
        <v>46330</v>
      </c>
      <c r="C7" t="s">
        <v>212</v>
      </c>
      <c r="D7" t="s">
        <v>207</v>
      </c>
      <c r="E7" t="s">
        <v>213</v>
      </c>
      <c r="F7" t="s">
        <v>58</v>
      </c>
      <c r="G7" s="8">
        <v>46339</v>
      </c>
      <c r="K7" s="10">
        <f>IF(A7="","",IF(H7&lt;&gt;"","Answered",IF(AND(G7&lt;&gt;"",TODAY()&gt;G7),"Overdue: unanswered","Open")))</f>
      </c>
    </row>
    <row r="8" spans="1:11" x14ac:dyDescent="0.25">
      <c r="K8" s="10">
        <f>IF(A8="","",IF(H8&lt;&gt;"","Answered",IF(AND(G8&lt;&gt;"",TODAY()&gt;G8),"Overdue: unanswered","Open")))</f>
      </c>
    </row>
    <row r="9" spans="1:11" x14ac:dyDescent="0.25">
      <c r="K9" s="10">
        <f>IF(A9="","",IF(H9&lt;&gt;"","Answered",IF(AND(G9&lt;&gt;"",TODAY()&gt;G9),"Overdue: unanswered","Open")))</f>
      </c>
    </row>
    <row r="10" spans="1:11" x14ac:dyDescent="0.25">
      <c r="K10" s="10">
        <f>IF(A10="","",IF(H10&lt;&gt;"","Answered",IF(AND(G10&lt;&gt;"",TODAY()&gt;G10),"Overdue: unanswered","Open")))</f>
      </c>
    </row>
    <row r="11" spans="1:11" x14ac:dyDescent="0.25">
      <c r="K11" s="10">
        <f>IF(A11="","",IF(H11&lt;&gt;"","Answered",IF(AND(G11&lt;&gt;"",TODAY()&gt;G11),"Overdue: unanswered","Open")))</f>
      </c>
    </row>
    <row r="12" spans="1:11" x14ac:dyDescent="0.25">
      <c r="K12" s="10">
        <f>IF(A12="","",IF(H12&lt;&gt;"","Answered",IF(AND(G12&lt;&gt;"",TODAY()&gt;G12),"Overdue: unanswered","Open")))</f>
      </c>
    </row>
    <row r="13" spans="1:11" x14ac:dyDescent="0.25">
      <c r="K13" s="10">
        <f>IF(A13="","",IF(H13&lt;&gt;"","Answered",IF(AND(G13&lt;&gt;"",TODAY()&gt;G13),"Overdue: unanswered","Open")))</f>
      </c>
    </row>
    <row r="14" spans="1:11" x14ac:dyDescent="0.25">
      <c r="K14" s="10">
        <f>IF(A14="","",IF(H14&lt;&gt;"","Answered",IF(AND(G14&lt;&gt;"",TODAY()&gt;G14),"Overdue: unanswered","Open")))</f>
      </c>
    </row>
    <row r="15" spans="1:11" x14ac:dyDescent="0.25">
      <c r="K15" s="10">
        <f>IF(A15="","",IF(H15&lt;&gt;"","Answered",IF(AND(G15&lt;&gt;"",TODAY()&gt;G15),"Overdue: unanswered","Open")))</f>
      </c>
    </row>
    <row r="16" spans="1:11" x14ac:dyDescent="0.25">
      <c r="K16" s="10">
        <f>IF(A16="","",IF(H16&lt;&gt;"","Answered",IF(AND(G16&lt;&gt;"",TODAY()&gt;G16),"Overdue: unanswered","Open")))</f>
      </c>
    </row>
    <row r="17" spans="1:11" x14ac:dyDescent="0.25">
      <c r="K17" s="10">
        <f>IF(A17="","",IF(H17&lt;&gt;"","Answered",IF(AND(G17&lt;&gt;"",TODAY()&gt;G17),"Overdue: unanswered","Open")))</f>
      </c>
    </row>
    <row r="18" spans="1:11" x14ac:dyDescent="0.25">
      <c r="K18" s="10">
        <f>IF(A18="","",IF(H18&lt;&gt;"","Answered",IF(AND(G18&lt;&gt;"",TODAY()&gt;G18),"Overdue: unanswered","Open")))</f>
      </c>
    </row>
    <row r="19" spans="1:11" x14ac:dyDescent="0.25">
      <c r="K19" s="10">
        <f>IF(A19="","",IF(H19&lt;&gt;"","Answered",IF(AND(G19&lt;&gt;"",TODAY()&gt;G19),"Overdue: unanswered","Open")))</f>
      </c>
    </row>
    <row r="20" spans="1:11" x14ac:dyDescent="0.25">
      <c r="K20" s="10">
        <f>IF(A20="","",IF(H20&lt;&gt;"","Answered",IF(AND(G20&lt;&gt;"",TODAY()&gt;G20),"Overdue: unanswered","Open")))</f>
      </c>
    </row>
    <row r="21" spans="1:11" x14ac:dyDescent="0.25">
      <c r="K21" s="10">
        <f>IF(A21="","",IF(H21&lt;&gt;"","Answered",IF(AND(G21&lt;&gt;"",TODAY()&gt;G21),"Overdue: unanswered","Open")))</f>
      </c>
    </row>
    <row r="22" spans="1:11" x14ac:dyDescent="0.25">
      <c r="K22" s="10">
        <f>IF(A22="","",IF(H22&lt;&gt;"","Answered",IF(AND(G22&lt;&gt;"",TODAY()&gt;G22),"Overdue: unanswered","Open")))</f>
      </c>
    </row>
    <row r="23" spans="1:11" x14ac:dyDescent="0.25">
      <c r="K23" s="10">
        <f>IF(A23="","",IF(H23&lt;&gt;"","Answered",IF(AND(G23&lt;&gt;"",TODAY()&gt;G23),"Overdue: unanswered","Open")))</f>
      </c>
    </row>
    <row r="24" spans="1:11" x14ac:dyDescent="0.25">
      <c r="K24" s="10">
        <f>IF(A24="","",IF(H24&lt;&gt;"","Answered",IF(AND(G24&lt;&gt;"",TODAY()&gt;G24),"Overdue: unanswered","Open")))</f>
      </c>
    </row>
    <row r="25" spans="1:11" x14ac:dyDescent="0.25">
      <c r="K25" s="10">
        <f>IF(A25="","",IF(H25&lt;&gt;"","Answered",IF(AND(G25&lt;&gt;"",TODAY()&gt;G25),"Overdue: unanswered","Open")))</f>
      </c>
    </row>
    <row r="26" spans="1:11" x14ac:dyDescent="0.25">
      <c r="K26" s="10">
        <f>IF(A26="","",IF(H26&lt;&gt;"","Answered",IF(AND(G26&lt;&gt;"",TODAY()&gt;G26),"Overdue: unanswered","Open")))</f>
      </c>
    </row>
    <row r="27" spans="1:11" x14ac:dyDescent="0.25">
      <c r="K27" s="10">
        <f>IF(A27="","",IF(H27&lt;&gt;"","Answered",IF(AND(G27&lt;&gt;"",TODAY()&gt;G27),"Overdue: unanswered","Open")))</f>
      </c>
    </row>
    <row r="28" spans="1:11" x14ac:dyDescent="0.25">
      <c r="K28" s="10">
        <f>IF(A28="","",IF(H28&lt;&gt;"","Answered",IF(AND(G28&lt;&gt;"",TODAY()&gt;G28),"Overdue: unanswered","Open")))</f>
      </c>
    </row>
    <row r="29" spans="1:11" x14ac:dyDescent="0.25">
      <c r="K29" s="10">
        <f>IF(A29="","",IF(H29&lt;&gt;"","Answered",IF(AND(G29&lt;&gt;"",TODAY()&gt;G29),"Overdue: unanswered","Open")))</f>
      </c>
    </row>
    <row r="30" spans="1:11" x14ac:dyDescent="0.25">
      <c r="K30" s="10">
        <f>IF(A30="","",IF(H30&lt;&gt;"","Answered",IF(AND(G30&lt;&gt;"",TODAY()&gt;G30),"Overdue: unanswered","Open")))</f>
      </c>
    </row>
    <row r="31" spans="1:11" x14ac:dyDescent="0.25">
      <c r="K31" s="10">
        <f>IF(A31="","",IF(H31&lt;&gt;"","Answered",IF(AND(G31&lt;&gt;"",TODAY()&gt;G31),"Overdue: unanswered","Open")))</f>
      </c>
    </row>
    <row r="32" spans="1:11" x14ac:dyDescent="0.25">
      <c r="K32" s="10">
        <f>IF(A32="","",IF(H32&lt;&gt;"","Answered",IF(AND(G32&lt;&gt;"",TODAY()&gt;G32),"Overdue: unanswered","Open")))</f>
      </c>
    </row>
    <row r="33" spans="1:11" x14ac:dyDescent="0.25">
      <c r="K33" s="10">
        <f>IF(A33="","",IF(H33&lt;&gt;"","Answered",IF(AND(G33&lt;&gt;"",TODAY()&gt;G33),"Overdue: unanswered","Open")))</f>
      </c>
    </row>
    <row r="34" spans="1:11" x14ac:dyDescent="0.25">
      <c r="K34" s="10">
        <f>IF(A34="","",IF(H34&lt;&gt;"","Answered",IF(AND(G34&lt;&gt;"",TODAY()&gt;G34),"Overdue: unanswered","Open")))</f>
      </c>
    </row>
    <row r="35" spans="1:11" x14ac:dyDescent="0.25">
      <c r="K35" s="10">
        <f>IF(A35="","",IF(H35&lt;&gt;"","Answered",IF(AND(G35&lt;&gt;"",TODAY()&gt;G35),"Overdue: unanswered","Open")))</f>
      </c>
    </row>
    <row r="36" spans="1:11" x14ac:dyDescent="0.25">
      <c r="K36" s="10">
        <f>IF(A36="","",IF(H36&lt;&gt;"","Answered",IF(AND(G36&lt;&gt;"",TODAY()&gt;G36),"Overdue: unanswered","Open")))</f>
      </c>
    </row>
    <row r="37" spans="1:11" x14ac:dyDescent="0.25">
      <c r="K37" s="10">
        <f>IF(A37="","",IF(H37&lt;&gt;"","Answered",IF(AND(G37&lt;&gt;"",TODAY()&gt;G37),"Overdue: unanswered","Open")))</f>
      </c>
    </row>
    <row r="38" spans="1:11" x14ac:dyDescent="0.25">
      <c r="K38" s="10">
        <f>IF(A38="","",IF(H38&lt;&gt;"","Answered",IF(AND(G38&lt;&gt;"",TODAY()&gt;G38),"Overdue: unanswered","Open")))</f>
      </c>
    </row>
    <row r="39" spans="1:11" x14ac:dyDescent="0.25">
      <c r="K39" s="10">
        <f>IF(A39="","",IF(H39&lt;&gt;"","Answered",IF(AND(G39&lt;&gt;"",TODAY()&gt;G39),"Overdue: unanswered","Open")))</f>
      </c>
    </row>
    <row r="40" spans="1:11" x14ac:dyDescent="0.25">
      <c r="K40" s="10">
        <f>IF(A40="","",IF(H40&lt;&gt;"","Answered",IF(AND(G40&lt;&gt;"",TODAY()&gt;G40),"Overdue: unanswered","Open")))</f>
      </c>
    </row>
    <row r="41" spans="1:11" x14ac:dyDescent="0.25">
      <c r="K41" s="10">
        <f>IF(A41="","",IF(H41&lt;&gt;"","Answered",IF(AND(G41&lt;&gt;"",TODAY()&gt;G41),"Overdue: unanswered","Open")))</f>
      </c>
    </row>
    <row r="42" spans="1:11" x14ac:dyDescent="0.25">
      <c r="K42" s="10">
        <f>IF(A42="","",IF(H42&lt;&gt;"","Answered",IF(AND(G42&lt;&gt;"",TODAY()&gt;G42),"Overdue: unanswered","Open")))</f>
      </c>
    </row>
    <row r="43" spans="1:11" x14ac:dyDescent="0.25">
      <c r="K43" s="10">
        <f>IF(A43="","",IF(H43&lt;&gt;"","Answered",IF(AND(G43&lt;&gt;"",TODAY()&gt;G43),"Overdue: unanswered","Open")))</f>
      </c>
    </row>
    <row r="44" spans="1:11" x14ac:dyDescent="0.25">
      <c r="K44" s="10">
        <f>IF(A44="","",IF(H44&lt;&gt;"","Answered",IF(AND(G44&lt;&gt;"",TODAY()&gt;G44),"Overdue: unanswered","Open")))</f>
      </c>
    </row>
    <row r="45" spans="1:11" x14ac:dyDescent="0.25">
      <c r="K45" s="10">
        <f>IF(A45="","",IF(H45&lt;&gt;"","Answered",IF(AND(G45&lt;&gt;"",TODAY()&gt;G45),"Overdue: unanswered","Open")))</f>
      </c>
    </row>
    <row r="46" spans="1:11" x14ac:dyDescent="0.25">
      <c r="K46" s="10">
        <f>IF(A46="","",IF(H46&lt;&gt;"","Answered",IF(AND(G46&lt;&gt;"",TODAY()&gt;G46),"Overdue: unanswered","Open")))</f>
      </c>
    </row>
    <row r="47" spans="1:11" x14ac:dyDescent="0.25">
      <c r="K47" s="10">
        <f>IF(A47="","",IF(H47&lt;&gt;"","Answered",IF(AND(G47&lt;&gt;"",TODAY()&gt;G47),"Overdue: unanswered","Open")))</f>
      </c>
    </row>
    <row r="49" spans="1:1" s="2" customFormat="1" x14ac:dyDescent="0.25">
      <c r="A49" s="2" t="s">
        <v>32</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pane xSplit="1" ySplit="4" topLeftCell="B5" activePane="bottomRight" state="frozen"/>
      <selection pane="bottomRight"/>
    </sheetView>
  </sheetViews>
  <sheetFormatPr defaultRowHeight="15" outlineLevelRow="0" outlineLevelCol="0" x14ac:dyDescent="55"/>
  <cols>
    <col min="1" max="2" width="11" customWidth="1"/>
    <col min="3" max="3" width="27" customWidth="1"/>
    <col min="4" max="5" width="13" customWidth="1"/>
    <col min="6" max="6" width="17" customWidth="1"/>
    <col min="7" max="7" width="13" customWidth="1"/>
    <col min="8" max="8" width="24" customWidth="1"/>
    <col min="9" max="9" width="23" customWidth="1"/>
    <col min="10" max="10" width="20" customWidth="1"/>
    <col min="11" max="11" width="33" customWidth="1"/>
    <col min="12" max="12" width="28" customWidth="1"/>
    <col min="13" max="13" width="25" customWidth="1"/>
  </cols>
  <sheetData>
    <row r="1" spans="1:1" s="1" customFormat="1" x14ac:dyDescent="0.25">
      <c r="A1" s="1" t="s">
        <v>214</v>
      </c>
    </row>
    <row r="2" spans="1:1" s="2" customFormat="1" x14ac:dyDescent="0.25">
      <c r="A2" s="2" t="s">
        <v>215</v>
      </c>
    </row>
    <row r="4" spans="1:13" s="3" customFormat="1" x14ac:dyDescent="0.25">
      <c r="A4" s="7" t="s">
        <v>121</v>
      </c>
      <c r="B4" s="7" t="s">
        <v>216</v>
      </c>
      <c r="C4" s="7" t="s">
        <v>217</v>
      </c>
      <c r="D4" s="7" t="s">
        <v>36</v>
      </c>
      <c r="E4" s="7" t="s">
        <v>218</v>
      </c>
      <c r="F4" s="7" t="s">
        <v>219</v>
      </c>
      <c r="G4" s="7" t="s">
        <v>220</v>
      </c>
      <c r="H4" s="7" t="s">
        <v>221</v>
      </c>
      <c r="I4" s="7" t="s">
        <v>222</v>
      </c>
      <c r="J4" s="7" t="s">
        <v>223</v>
      </c>
      <c r="K4" s="7" t="s">
        <v>224</v>
      </c>
      <c r="L4" s="7" t="s">
        <v>225</v>
      </c>
      <c r="M4" s="7" t="s">
        <v>226</v>
      </c>
    </row>
    <row r="5" spans="1:13" x14ac:dyDescent="0.25">
      <c r="A5" t="s">
        <v>135</v>
      </c>
      <c r="B5" t="s">
        <v>227</v>
      </c>
      <c r="C5" t="s">
        <v>134</v>
      </c>
      <c r="D5" t="s">
        <v>228</v>
      </c>
      <c r="E5" s="8">
        <v>46254</v>
      </c>
      <c r="F5">
        <v>48000</v>
      </c>
      <c r="G5">
        <v>5</v>
      </c>
      <c r="H5">
        <v>49500</v>
      </c>
      <c r="I5" s="9">
        <f>IF(A5="","",SUMIFS('Claims'!$J:$J,'Claims'!$Q:$Q,A5))</f>
      </c>
      <c r="J5" s="9">
        <f>IF(A5="","",SUMIFS('Claims'!$T:$T,'Claims'!$Q:$Q,A5))</f>
      </c>
      <c r="K5" s="9">
        <f>IF(A5="","",SUMIFS('Retention'!$F:$F,'Retention'!$C:$C,A5)-SUMIFS('Retention'!$G:$G,'Retention'!$C:$C,A5))</f>
      </c>
      <c r="L5" s="9">
        <f>IF(A5="","",F5-I5)</f>
      </c>
      <c r="M5" s="9">
        <f>IF(OR(A5="",H5=""),"",H5-F5)</f>
      </c>
    </row>
    <row r="6" spans="1:13" x14ac:dyDescent="0.25">
      <c r="A6" t="s">
        <v>138</v>
      </c>
      <c r="B6" t="s">
        <v>227</v>
      </c>
      <c r="C6" t="s">
        <v>137</v>
      </c>
      <c r="D6" t="s">
        <v>229</v>
      </c>
      <c r="E6" s="8">
        <v>46259</v>
      </c>
      <c r="F6">
        <v>62000</v>
      </c>
      <c r="G6">
        <v>5</v>
      </c>
      <c r="I6" s="9">
        <f>IF(A6="","",SUMIFS('Claims'!$J:$J,'Claims'!$Q:$Q,A6))</f>
      </c>
      <c r="J6" s="9">
        <f>IF(A6="","",SUMIFS('Claims'!$T:$T,'Claims'!$Q:$Q,A6))</f>
      </c>
      <c r="K6" s="9">
        <f>IF(A6="","",SUMIFS('Retention'!$F:$F,'Retention'!$C:$C,A6)-SUMIFS('Retention'!$G:$G,'Retention'!$C:$C,A6))</f>
      </c>
      <c r="L6" s="9">
        <f>IF(A6="","",F6-I6)</f>
      </c>
      <c r="M6" s="9">
        <f>IF(OR(A6="",H6=""),"",H6-F6)</f>
      </c>
    </row>
    <row r="7" spans="1:13" x14ac:dyDescent="0.25">
      <c r="A7" t="s">
        <v>230</v>
      </c>
      <c r="B7" t="s">
        <v>231</v>
      </c>
      <c r="C7" t="s">
        <v>232</v>
      </c>
      <c r="D7" t="s">
        <v>233</v>
      </c>
      <c r="E7" s="8">
        <v>46275</v>
      </c>
      <c r="F7">
        <v>28400</v>
      </c>
      <c r="H7">
        <v>28400</v>
      </c>
      <c r="I7" s="9">
        <f>IF(A7="","",SUMIFS('Claims'!$J:$J,'Claims'!$Q:$Q,A7))</f>
      </c>
      <c r="J7" s="9">
        <f>IF(A7="","",SUMIFS('Claims'!$T:$T,'Claims'!$Q:$Q,A7))</f>
      </c>
      <c r="K7" s="9">
        <f>IF(A7="","",SUMIFS('Retention'!$F:$F,'Retention'!$C:$C,A7)-SUMIFS('Retention'!$G:$G,'Retention'!$C:$C,A7))</f>
      </c>
      <c r="L7" s="9">
        <f>IF(A7="","",F7-I7)</f>
      </c>
      <c r="M7" s="9">
        <f>IF(OR(A7="",H7=""),"",H7-F7)</f>
      </c>
    </row>
    <row r="8" spans="1:13" x14ac:dyDescent="0.25">
      <c r="I8" s="9">
        <f>IF(A8="","",SUMIFS('Claims'!$J:$J,'Claims'!$Q:$Q,A8))</f>
      </c>
      <c r="J8" s="9">
        <f>IF(A8="","",SUMIFS('Claims'!$T:$T,'Claims'!$Q:$Q,A8))</f>
      </c>
      <c r="K8" s="9">
        <f>IF(A8="","",SUMIFS('Retention'!$F:$F,'Retention'!$C:$C,A8)-SUMIFS('Retention'!$G:$G,'Retention'!$C:$C,A8))</f>
      </c>
      <c r="L8" s="9">
        <f>IF(A8="","",F8-I8)</f>
      </c>
      <c r="M8" s="9">
        <f>IF(OR(A8="",H8=""),"",H8-F8)</f>
      </c>
    </row>
    <row r="9" spans="1:13" x14ac:dyDescent="0.25">
      <c r="I9" s="9">
        <f>IF(A9="","",SUMIFS('Claims'!$J:$J,'Claims'!$Q:$Q,A9))</f>
      </c>
      <c r="J9" s="9">
        <f>IF(A9="","",SUMIFS('Claims'!$T:$T,'Claims'!$Q:$Q,A9))</f>
      </c>
      <c r="K9" s="9">
        <f>IF(A9="","",SUMIFS('Retention'!$F:$F,'Retention'!$C:$C,A9)-SUMIFS('Retention'!$G:$G,'Retention'!$C:$C,A9))</f>
      </c>
      <c r="L9" s="9">
        <f>IF(A9="","",F9-I9)</f>
      </c>
      <c r="M9" s="9">
        <f>IF(OR(A9="",H9=""),"",H9-F9)</f>
      </c>
    </row>
    <row r="10" spans="1:13" x14ac:dyDescent="0.25">
      <c r="I10" s="9">
        <f>IF(A10="","",SUMIFS('Claims'!$J:$J,'Claims'!$Q:$Q,A10))</f>
      </c>
      <c r="J10" s="9">
        <f>IF(A10="","",SUMIFS('Claims'!$T:$T,'Claims'!$Q:$Q,A10))</f>
      </c>
      <c r="K10" s="9">
        <f>IF(A10="","",SUMIFS('Retention'!$F:$F,'Retention'!$C:$C,A10)-SUMIFS('Retention'!$G:$G,'Retention'!$C:$C,A10))</f>
      </c>
      <c r="L10" s="9">
        <f>IF(A10="","",F10-I10)</f>
      </c>
      <c r="M10" s="9">
        <f>IF(OR(A10="",H10=""),"",H10-F10)</f>
      </c>
    </row>
    <row r="11" spans="1:13" x14ac:dyDescent="0.25">
      <c r="I11" s="9">
        <f>IF(A11="","",SUMIFS('Claims'!$J:$J,'Claims'!$Q:$Q,A11))</f>
      </c>
      <c r="J11" s="9">
        <f>IF(A11="","",SUMIFS('Claims'!$T:$T,'Claims'!$Q:$Q,A11))</f>
      </c>
      <c r="K11" s="9">
        <f>IF(A11="","",SUMIFS('Retention'!$F:$F,'Retention'!$C:$C,A11)-SUMIFS('Retention'!$G:$G,'Retention'!$C:$C,A11))</f>
      </c>
      <c r="L11" s="9">
        <f>IF(A11="","",F11-I11)</f>
      </c>
      <c r="M11" s="9">
        <f>IF(OR(A11="",H11=""),"",H11-F11)</f>
      </c>
    </row>
    <row r="12" spans="1:13" x14ac:dyDescent="0.25">
      <c r="I12" s="9">
        <f>IF(A12="","",SUMIFS('Claims'!$J:$J,'Claims'!$Q:$Q,A12))</f>
      </c>
      <c r="J12" s="9">
        <f>IF(A12="","",SUMIFS('Claims'!$T:$T,'Claims'!$Q:$Q,A12))</f>
      </c>
      <c r="K12" s="9">
        <f>IF(A12="","",SUMIFS('Retention'!$F:$F,'Retention'!$C:$C,A12)-SUMIFS('Retention'!$G:$G,'Retention'!$C:$C,A12))</f>
      </c>
      <c r="L12" s="9">
        <f>IF(A12="","",F12-I12)</f>
      </c>
      <c r="M12" s="9">
        <f>IF(OR(A12="",H12=""),"",H12-F12)</f>
      </c>
    </row>
    <row r="13" spans="1:13" x14ac:dyDescent="0.25">
      <c r="I13" s="9">
        <f>IF(A13="","",SUMIFS('Claims'!$J:$J,'Claims'!$Q:$Q,A13))</f>
      </c>
      <c r="J13" s="9">
        <f>IF(A13="","",SUMIFS('Claims'!$T:$T,'Claims'!$Q:$Q,A13))</f>
      </c>
      <c r="K13" s="9">
        <f>IF(A13="","",SUMIFS('Retention'!$F:$F,'Retention'!$C:$C,A13)-SUMIFS('Retention'!$G:$G,'Retention'!$C:$C,A13))</f>
      </c>
      <c r="L13" s="9">
        <f>IF(A13="","",F13-I13)</f>
      </c>
      <c r="M13" s="9">
        <f>IF(OR(A13="",H13=""),"",H13-F13)</f>
      </c>
    </row>
    <row r="14" spans="1:13" x14ac:dyDescent="0.25">
      <c r="I14" s="9">
        <f>IF(A14="","",SUMIFS('Claims'!$J:$J,'Claims'!$Q:$Q,A14))</f>
      </c>
      <c r="J14" s="9">
        <f>IF(A14="","",SUMIFS('Claims'!$T:$T,'Claims'!$Q:$Q,A14))</f>
      </c>
      <c r="K14" s="9">
        <f>IF(A14="","",SUMIFS('Retention'!$F:$F,'Retention'!$C:$C,A14)-SUMIFS('Retention'!$G:$G,'Retention'!$C:$C,A14))</f>
      </c>
      <c r="L14" s="9">
        <f>IF(A14="","",F14-I14)</f>
      </c>
      <c r="M14" s="9">
        <f>IF(OR(A14="",H14=""),"",H14-F14)</f>
      </c>
    </row>
    <row r="15" spans="1:13" x14ac:dyDescent="0.25">
      <c r="I15" s="9">
        <f>IF(A15="","",SUMIFS('Claims'!$J:$J,'Claims'!$Q:$Q,A15))</f>
      </c>
      <c r="J15" s="9">
        <f>IF(A15="","",SUMIFS('Claims'!$T:$T,'Claims'!$Q:$Q,A15))</f>
      </c>
      <c r="K15" s="9">
        <f>IF(A15="","",SUMIFS('Retention'!$F:$F,'Retention'!$C:$C,A15)-SUMIFS('Retention'!$G:$G,'Retention'!$C:$C,A15))</f>
      </c>
      <c r="L15" s="9">
        <f>IF(A15="","",F15-I15)</f>
      </c>
      <c r="M15" s="9">
        <f>IF(OR(A15="",H15=""),"",H15-F15)</f>
      </c>
    </row>
    <row r="16" spans="1:13" x14ac:dyDescent="0.25">
      <c r="I16" s="9">
        <f>IF(A16="","",SUMIFS('Claims'!$J:$J,'Claims'!$Q:$Q,A16))</f>
      </c>
      <c r="J16" s="9">
        <f>IF(A16="","",SUMIFS('Claims'!$T:$T,'Claims'!$Q:$Q,A16))</f>
      </c>
      <c r="K16" s="9">
        <f>IF(A16="","",SUMIFS('Retention'!$F:$F,'Retention'!$C:$C,A16)-SUMIFS('Retention'!$G:$G,'Retention'!$C:$C,A16))</f>
      </c>
      <c r="L16" s="9">
        <f>IF(A16="","",F16-I16)</f>
      </c>
      <c r="M16" s="9">
        <f>IF(OR(A16="",H16=""),"",H16-F16)</f>
      </c>
    </row>
    <row r="17" spans="1:13" x14ac:dyDescent="0.25">
      <c r="I17" s="9">
        <f>IF(A17="","",SUMIFS('Claims'!$J:$J,'Claims'!$Q:$Q,A17))</f>
      </c>
      <c r="J17" s="9">
        <f>IF(A17="","",SUMIFS('Claims'!$T:$T,'Claims'!$Q:$Q,A17))</f>
      </c>
      <c r="K17" s="9">
        <f>IF(A17="","",SUMIFS('Retention'!$F:$F,'Retention'!$C:$C,A17)-SUMIFS('Retention'!$G:$G,'Retention'!$C:$C,A17))</f>
      </c>
      <c r="L17" s="9">
        <f>IF(A17="","",F17-I17)</f>
      </c>
      <c r="M17" s="9">
        <f>IF(OR(A17="",H17=""),"",H17-F17)</f>
      </c>
    </row>
    <row r="18" spans="1:13" x14ac:dyDescent="0.25">
      <c r="I18" s="9">
        <f>IF(A18="","",SUMIFS('Claims'!$J:$J,'Claims'!$Q:$Q,A18))</f>
      </c>
      <c r="J18" s="9">
        <f>IF(A18="","",SUMIFS('Claims'!$T:$T,'Claims'!$Q:$Q,A18))</f>
      </c>
      <c r="K18" s="9">
        <f>IF(A18="","",SUMIFS('Retention'!$F:$F,'Retention'!$C:$C,A18)-SUMIFS('Retention'!$G:$G,'Retention'!$C:$C,A18))</f>
      </c>
      <c r="L18" s="9">
        <f>IF(A18="","",F18-I18)</f>
      </c>
      <c r="M18" s="9">
        <f>IF(OR(A18="",H18=""),"",H18-F18)</f>
      </c>
    </row>
    <row r="19" spans="1:13" x14ac:dyDescent="0.25">
      <c r="I19" s="9">
        <f>IF(A19="","",SUMIFS('Claims'!$J:$J,'Claims'!$Q:$Q,A19))</f>
      </c>
      <c r="J19" s="9">
        <f>IF(A19="","",SUMIFS('Claims'!$T:$T,'Claims'!$Q:$Q,A19))</f>
      </c>
      <c r="K19" s="9">
        <f>IF(A19="","",SUMIFS('Retention'!$F:$F,'Retention'!$C:$C,A19)-SUMIFS('Retention'!$G:$G,'Retention'!$C:$C,A19))</f>
      </c>
      <c r="L19" s="9">
        <f>IF(A19="","",F19-I19)</f>
      </c>
      <c r="M19" s="9">
        <f>IF(OR(A19="",H19=""),"",H19-F19)</f>
      </c>
    </row>
    <row r="20" spans="1:13" x14ac:dyDescent="0.25">
      <c r="I20" s="9">
        <f>IF(A20="","",SUMIFS('Claims'!$J:$J,'Claims'!$Q:$Q,A20))</f>
      </c>
      <c r="J20" s="9">
        <f>IF(A20="","",SUMIFS('Claims'!$T:$T,'Claims'!$Q:$Q,A20))</f>
      </c>
      <c r="K20" s="9">
        <f>IF(A20="","",SUMIFS('Retention'!$F:$F,'Retention'!$C:$C,A20)-SUMIFS('Retention'!$G:$G,'Retention'!$C:$C,A20))</f>
      </c>
      <c r="L20" s="9">
        <f>IF(A20="","",F20-I20)</f>
      </c>
      <c r="M20" s="9">
        <f>IF(OR(A20="",H20=""),"",H20-F20)</f>
      </c>
    </row>
    <row r="21" spans="1:13" x14ac:dyDescent="0.25">
      <c r="I21" s="9">
        <f>IF(A21="","",SUMIFS('Claims'!$J:$J,'Claims'!$Q:$Q,A21))</f>
      </c>
      <c r="J21" s="9">
        <f>IF(A21="","",SUMIFS('Claims'!$T:$T,'Claims'!$Q:$Q,A21))</f>
      </c>
      <c r="K21" s="9">
        <f>IF(A21="","",SUMIFS('Retention'!$F:$F,'Retention'!$C:$C,A21)-SUMIFS('Retention'!$G:$G,'Retention'!$C:$C,A21))</f>
      </c>
      <c r="L21" s="9">
        <f>IF(A21="","",F21-I21)</f>
      </c>
      <c r="M21" s="9">
        <f>IF(OR(A21="",H21=""),"",H21-F21)</f>
      </c>
    </row>
    <row r="22" spans="1:13" x14ac:dyDescent="0.25">
      <c r="I22" s="9">
        <f>IF(A22="","",SUMIFS('Claims'!$J:$J,'Claims'!$Q:$Q,A22))</f>
      </c>
      <c r="J22" s="9">
        <f>IF(A22="","",SUMIFS('Claims'!$T:$T,'Claims'!$Q:$Q,A22))</f>
      </c>
      <c r="K22" s="9">
        <f>IF(A22="","",SUMIFS('Retention'!$F:$F,'Retention'!$C:$C,A22)-SUMIFS('Retention'!$G:$G,'Retention'!$C:$C,A22))</f>
      </c>
      <c r="L22" s="9">
        <f>IF(A22="","",F22-I22)</f>
      </c>
      <c r="M22" s="9">
        <f>IF(OR(A22="",H22=""),"",H22-F22)</f>
      </c>
    </row>
    <row r="23" spans="1:13" x14ac:dyDescent="0.25">
      <c r="I23" s="9">
        <f>IF(A23="","",SUMIFS('Claims'!$J:$J,'Claims'!$Q:$Q,A23))</f>
      </c>
      <c r="J23" s="9">
        <f>IF(A23="","",SUMIFS('Claims'!$T:$T,'Claims'!$Q:$Q,A23))</f>
      </c>
      <c r="K23" s="9">
        <f>IF(A23="","",SUMIFS('Retention'!$F:$F,'Retention'!$C:$C,A23)-SUMIFS('Retention'!$G:$G,'Retention'!$C:$C,A23))</f>
      </c>
      <c r="L23" s="9">
        <f>IF(A23="","",F23-I23)</f>
      </c>
      <c r="M23" s="9">
        <f>IF(OR(A23="",H23=""),"",H23-F23)</f>
      </c>
    </row>
    <row r="24" spans="1:13" x14ac:dyDescent="0.25">
      <c r="I24" s="9">
        <f>IF(A24="","",SUMIFS('Claims'!$J:$J,'Claims'!$Q:$Q,A24))</f>
      </c>
      <c r="J24" s="9">
        <f>IF(A24="","",SUMIFS('Claims'!$T:$T,'Claims'!$Q:$Q,A24))</f>
      </c>
      <c r="K24" s="9">
        <f>IF(A24="","",SUMIFS('Retention'!$F:$F,'Retention'!$C:$C,A24)-SUMIFS('Retention'!$G:$G,'Retention'!$C:$C,A24))</f>
      </c>
      <c r="L24" s="9">
        <f>IF(A24="","",F24-I24)</f>
      </c>
      <c r="M24" s="9">
        <f>IF(OR(A24="",H24=""),"",H24-F24)</f>
      </c>
    </row>
    <row r="25" spans="1:13" x14ac:dyDescent="0.25">
      <c r="I25" s="9">
        <f>IF(A25="","",SUMIFS('Claims'!$J:$J,'Claims'!$Q:$Q,A25))</f>
      </c>
      <c r="J25" s="9">
        <f>IF(A25="","",SUMIFS('Claims'!$T:$T,'Claims'!$Q:$Q,A25))</f>
      </c>
      <c r="K25" s="9">
        <f>IF(A25="","",SUMIFS('Retention'!$F:$F,'Retention'!$C:$C,A25)-SUMIFS('Retention'!$G:$G,'Retention'!$C:$C,A25))</f>
      </c>
      <c r="L25" s="9">
        <f>IF(A25="","",F25-I25)</f>
      </c>
      <c r="M25" s="9">
        <f>IF(OR(A25="",H25=""),"",H25-F25)</f>
      </c>
    </row>
    <row r="26" spans="1:13" x14ac:dyDescent="0.25">
      <c r="I26" s="9">
        <f>IF(A26="","",SUMIFS('Claims'!$J:$J,'Claims'!$Q:$Q,A26))</f>
      </c>
      <c r="J26" s="9">
        <f>IF(A26="","",SUMIFS('Claims'!$T:$T,'Claims'!$Q:$Q,A26))</f>
      </c>
      <c r="K26" s="9">
        <f>IF(A26="","",SUMIFS('Retention'!$F:$F,'Retention'!$C:$C,A26)-SUMIFS('Retention'!$G:$G,'Retention'!$C:$C,A26))</f>
      </c>
      <c r="L26" s="9">
        <f>IF(A26="","",F26-I26)</f>
      </c>
      <c r="M26" s="9">
        <f>IF(OR(A26="",H26=""),"",H26-F26)</f>
      </c>
    </row>
    <row r="27" spans="1:13" x14ac:dyDescent="0.25">
      <c r="I27" s="9">
        <f>IF(A27="","",SUMIFS('Claims'!$J:$J,'Claims'!$Q:$Q,A27))</f>
      </c>
      <c r="J27" s="9">
        <f>IF(A27="","",SUMIFS('Claims'!$T:$T,'Claims'!$Q:$Q,A27))</f>
      </c>
      <c r="K27" s="9">
        <f>IF(A27="","",SUMIFS('Retention'!$F:$F,'Retention'!$C:$C,A27)-SUMIFS('Retention'!$G:$G,'Retention'!$C:$C,A27))</f>
      </c>
      <c r="L27" s="9">
        <f>IF(A27="","",F27-I27)</f>
      </c>
      <c r="M27" s="9">
        <f>IF(OR(A27="",H27=""),"",H27-F27)</f>
      </c>
    </row>
    <row r="28" spans="1:13" x14ac:dyDescent="0.25">
      <c r="I28" s="9">
        <f>IF(A28="","",SUMIFS('Claims'!$J:$J,'Claims'!$Q:$Q,A28))</f>
      </c>
      <c r="J28" s="9">
        <f>IF(A28="","",SUMIFS('Claims'!$T:$T,'Claims'!$Q:$Q,A28))</f>
      </c>
      <c r="K28" s="9">
        <f>IF(A28="","",SUMIFS('Retention'!$F:$F,'Retention'!$C:$C,A28)-SUMIFS('Retention'!$G:$G,'Retention'!$C:$C,A28))</f>
      </c>
      <c r="L28" s="9">
        <f>IF(A28="","",F28-I28)</f>
      </c>
      <c r="M28" s="9">
        <f>IF(OR(A28="",H28=""),"",H28-F28)</f>
      </c>
    </row>
    <row r="29" spans="1:13" x14ac:dyDescent="0.25">
      <c r="I29" s="9">
        <f>IF(A29="","",SUMIFS('Claims'!$J:$J,'Claims'!$Q:$Q,A29))</f>
      </c>
      <c r="J29" s="9">
        <f>IF(A29="","",SUMIFS('Claims'!$T:$T,'Claims'!$Q:$Q,A29))</f>
      </c>
      <c r="K29" s="9">
        <f>IF(A29="","",SUMIFS('Retention'!$F:$F,'Retention'!$C:$C,A29)-SUMIFS('Retention'!$G:$G,'Retention'!$C:$C,A29))</f>
      </c>
      <c r="L29" s="9">
        <f>IF(A29="","",F29-I29)</f>
      </c>
      <c r="M29" s="9">
        <f>IF(OR(A29="",H29=""),"",H29-F29)</f>
      </c>
    </row>
    <row r="30" spans="1:13" x14ac:dyDescent="0.25">
      <c r="I30" s="9">
        <f>IF(A30="","",SUMIFS('Claims'!$J:$J,'Claims'!$Q:$Q,A30))</f>
      </c>
      <c r="J30" s="9">
        <f>IF(A30="","",SUMIFS('Claims'!$T:$T,'Claims'!$Q:$Q,A30))</f>
      </c>
      <c r="K30" s="9">
        <f>IF(A30="","",SUMIFS('Retention'!$F:$F,'Retention'!$C:$C,A30)-SUMIFS('Retention'!$G:$G,'Retention'!$C:$C,A30))</f>
      </c>
      <c r="L30" s="9">
        <f>IF(A30="","",F30-I30)</f>
      </c>
      <c r="M30" s="9">
        <f>IF(OR(A30="",H30=""),"",H30-F30)</f>
      </c>
    </row>
    <row r="31" spans="1:13" x14ac:dyDescent="0.25">
      <c r="I31" s="9">
        <f>IF(A31="","",SUMIFS('Claims'!$J:$J,'Claims'!$Q:$Q,A31))</f>
      </c>
      <c r="J31" s="9">
        <f>IF(A31="","",SUMIFS('Claims'!$T:$T,'Claims'!$Q:$Q,A31))</f>
      </c>
      <c r="K31" s="9">
        <f>IF(A31="","",SUMIFS('Retention'!$F:$F,'Retention'!$C:$C,A31)-SUMIFS('Retention'!$G:$G,'Retention'!$C:$C,A31))</f>
      </c>
      <c r="L31" s="9">
        <f>IF(A31="","",F31-I31)</f>
      </c>
      <c r="M31" s="9">
        <f>IF(OR(A31="",H31=""),"",H31-F31)</f>
      </c>
    </row>
    <row r="32" spans="1:13" x14ac:dyDescent="0.25">
      <c r="I32" s="9">
        <f>IF(A32="","",SUMIFS('Claims'!$J:$J,'Claims'!$Q:$Q,A32))</f>
      </c>
      <c r="J32" s="9">
        <f>IF(A32="","",SUMIFS('Claims'!$T:$T,'Claims'!$Q:$Q,A32))</f>
      </c>
      <c r="K32" s="9">
        <f>IF(A32="","",SUMIFS('Retention'!$F:$F,'Retention'!$C:$C,A32)-SUMIFS('Retention'!$G:$G,'Retention'!$C:$C,A32))</f>
      </c>
      <c r="L32" s="9">
        <f>IF(A32="","",F32-I32)</f>
      </c>
      <c r="M32" s="9">
        <f>IF(OR(A32="",H32=""),"",H32-F32)</f>
      </c>
    </row>
    <row r="33" spans="1:13" x14ac:dyDescent="0.25">
      <c r="I33" s="9">
        <f>IF(A33="","",SUMIFS('Claims'!$J:$J,'Claims'!$Q:$Q,A33))</f>
      </c>
      <c r="J33" s="9">
        <f>IF(A33="","",SUMIFS('Claims'!$T:$T,'Claims'!$Q:$Q,A33))</f>
      </c>
      <c r="K33" s="9">
        <f>IF(A33="","",SUMIFS('Retention'!$F:$F,'Retention'!$C:$C,A33)-SUMIFS('Retention'!$G:$G,'Retention'!$C:$C,A33))</f>
      </c>
      <c r="L33" s="9">
        <f>IF(A33="","",F33-I33)</f>
      </c>
      <c r="M33" s="9">
        <f>IF(OR(A33="",H33=""),"",H33-F33)</f>
      </c>
    </row>
    <row r="34" spans="1:13" x14ac:dyDescent="0.25">
      <c r="I34" s="9">
        <f>IF(A34="","",SUMIFS('Claims'!$J:$J,'Claims'!$Q:$Q,A34))</f>
      </c>
      <c r="J34" s="9">
        <f>IF(A34="","",SUMIFS('Claims'!$T:$T,'Claims'!$Q:$Q,A34))</f>
      </c>
      <c r="K34" s="9">
        <f>IF(A34="","",SUMIFS('Retention'!$F:$F,'Retention'!$C:$C,A34)-SUMIFS('Retention'!$G:$G,'Retention'!$C:$C,A34))</f>
      </c>
      <c r="L34" s="9">
        <f>IF(A34="","",F34-I34)</f>
      </c>
      <c r="M34" s="9">
        <f>IF(OR(A34="",H34=""),"",H34-F34)</f>
      </c>
    </row>
    <row r="35" spans="1:13" x14ac:dyDescent="0.25">
      <c r="I35" s="9">
        <f>IF(A35="","",SUMIFS('Claims'!$J:$J,'Claims'!$Q:$Q,A35))</f>
      </c>
      <c r="J35" s="9">
        <f>IF(A35="","",SUMIFS('Claims'!$T:$T,'Claims'!$Q:$Q,A35))</f>
      </c>
      <c r="K35" s="9">
        <f>IF(A35="","",SUMIFS('Retention'!$F:$F,'Retention'!$C:$C,A35)-SUMIFS('Retention'!$G:$G,'Retention'!$C:$C,A35))</f>
      </c>
      <c r="L35" s="9">
        <f>IF(A35="","",F35-I35)</f>
      </c>
      <c r="M35" s="9">
        <f>IF(OR(A35="",H35=""),"",H35-F35)</f>
      </c>
    </row>
    <row r="36" spans="1:13" x14ac:dyDescent="0.25">
      <c r="I36" s="9">
        <f>IF(A36="","",SUMIFS('Claims'!$J:$J,'Claims'!$Q:$Q,A36))</f>
      </c>
      <c r="J36" s="9">
        <f>IF(A36="","",SUMIFS('Claims'!$T:$T,'Claims'!$Q:$Q,A36))</f>
      </c>
      <c r="K36" s="9">
        <f>IF(A36="","",SUMIFS('Retention'!$F:$F,'Retention'!$C:$C,A36)-SUMIFS('Retention'!$G:$G,'Retention'!$C:$C,A36))</f>
      </c>
      <c r="L36" s="9">
        <f>IF(A36="","",F36-I36)</f>
      </c>
      <c r="M36" s="9">
        <f>IF(OR(A36="",H36=""),"",H36-F36)</f>
      </c>
    </row>
    <row r="37" spans="1:13" x14ac:dyDescent="0.25">
      <c r="I37" s="9">
        <f>IF(A37="","",SUMIFS('Claims'!$J:$J,'Claims'!$Q:$Q,A37))</f>
      </c>
      <c r="J37" s="9">
        <f>IF(A37="","",SUMIFS('Claims'!$T:$T,'Claims'!$Q:$Q,A37))</f>
      </c>
      <c r="K37" s="9">
        <f>IF(A37="","",SUMIFS('Retention'!$F:$F,'Retention'!$C:$C,A37)-SUMIFS('Retention'!$G:$G,'Retention'!$C:$C,A37))</f>
      </c>
      <c r="L37" s="9">
        <f>IF(A37="","",F37-I37)</f>
      </c>
      <c r="M37" s="9">
        <f>IF(OR(A37="",H37=""),"",H37-F37)</f>
      </c>
    </row>
    <row r="38" spans="1:13" x14ac:dyDescent="0.25">
      <c r="I38" s="9">
        <f>IF(A38="","",SUMIFS('Claims'!$J:$J,'Claims'!$Q:$Q,A38))</f>
      </c>
      <c r="J38" s="9">
        <f>IF(A38="","",SUMIFS('Claims'!$T:$T,'Claims'!$Q:$Q,A38))</f>
      </c>
      <c r="K38" s="9">
        <f>IF(A38="","",SUMIFS('Retention'!$F:$F,'Retention'!$C:$C,A38)-SUMIFS('Retention'!$G:$G,'Retention'!$C:$C,A38))</f>
      </c>
      <c r="L38" s="9">
        <f>IF(A38="","",F38-I38)</f>
      </c>
      <c r="M38" s="9">
        <f>IF(OR(A38="",H38=""),"",H38-F38)</f>
      </c>
    </row>
    <row r="39" spans="1:13" x14ac:dyDescent="0.25">
      <c r="I39" s="9">
        <f>IF(A39="","",SUMIFS('Claims'!$J:$J,'Claims'!$Q:$Q,A39))</f>
      </c>
      <c r="J39" s="9">
        <f>IF(A39="","",SUMIFS('Claims'!$T:$T,'Claims'!$Q:$Q,A39))</f>
      </c>
      <c r="K39" s="9">
        <f>IF(A39="","",SUMIFS('Retention'!$F:$F,'Retention'!$C:$C,A39)-SUMIFS('Retention'!$G:$G,'Retention'!$C:$C,A39))</f>
      </c>
      <c r="L39" s="9">
        <f>IF(A39="","",F39-I39)</f>
      </c>
      <c r="M39" s="9">
        <f>IF(OR(A39="",H39=""),"",H39-F39)</f>
      </c>
    </row>
    <row r="40" spans="1:13" x14ac:dyDescent="0.25">
      <c r="I40" s="9">
        <f>IF(A40="","",SUMIFS('Claims'!$J:$J,'Claims'!$Q:$Q,A40))</f>
      </c>
      <c r="J40" s="9">
        <f>IF(A40="","",SUMIFS('Claims'!$T:$T,'Claims'!$Q:$Q,A40))</f>
      </c>
      <c r="K40" s="9">
        <f>IF(A40="","",SUMIFS('Retention'!$F:$F,'Retention'!$C:$C,A40)-SUMIFS('Retention'!$G:$G,'Retention'!$C:$C,A40))</f>
      </c>
      <c r="L40" s="9">
        <f>IF(A40="","",F40-I40)</f>
      </c>
      <c r="M40" s="9">
        <f>IF(OR(A40="",H40=""),"",H40-F40)</f>
      </c>
    </row>
    <row r="41" spans="1:13" x14ac:dyDescent="0.25">
      <c r="I41" s="9">
        <f>IF(A41="","",SUMIFS('Claims'!$J:$J,'Claims'!$Q:$Q,A41))</f>
      </c>
      <c r="J41" s="9">
        <f>IF(A41="","",SUMIFS('Claims'!$T:$T,'Claims'!$Q:$Q,A41))</f>
      </c>
      <c r="K41" s="9">
        <f>IF(A41="","",SUMIFS('Retention'!$F:$F,'Retention'!$C:$C,A41)-SUMIFS('Retention'!$G:$G,'Retention'!$C:$C,A41))</f>
      </c>
      <c r="L41" s="9">
        <f>IF(A41="","",F41-I41)</f>
      </c>
      <c r="M41" s="9">
        <f>IF(OR(A41="",H41=""),"",H41-F41)</f>
      </c>
    </row>
    <row r="42" spans="1:13" x14ac:dyDescent="0.25">
      <c r="I42" s="9">
        <f>IF(A42="","",SUMIFS('Claims'!$J:$J,'Claims'!$Q:$Q,A42))</f>
      </c>
      <c r="J42" s="9">
        <f>IF(A42="","",SUMIFS('Claims'!$T:$T,'Claims'!$Q:$Q,A42))</f>
      </c>
      <c r="K42" s="9">
        <f>IF(A42="","",SUMIFS('Retention'!$F:$F,'Retention'!$C:$C,A42)-SUMIFS('Retention'!$G:$G,'Retention'!$C:$C,A42))</f>
      </c>
      <c r="L42" s="9">
        <f>IF(A42="","",F42-I42)</f>
      </c>
      <c r="M42" s="9">
        <f>IF(OR(A42="",H42=""),"",H42-F42)</f>
      </c>
    </row>
    <row r="43" spans="1:13" x14ac:dyDescent="0.25">
      <c r="I43" s="9">
        <f>IF(A43="","",SUMIFS('Claims'!$J:$J,'Claims'!$Q:$Q,A43))</f>
      </c>
      <c r="J43" s="9">
        <f>IF(A43="","",SUMIFS('Claims'!$T:$T,'Claims'!$Q:$Q,A43))</f>
      </c>
      <c r="K43" s="9">
        <f>IF(A43="","",SUMIFS('Retention'!$F:$F,'Retention'!$C:$C,A43)-SUMIFS('Retention'!$G:$G,'Retention'!$C:$C,A43))</f>
      </c>
      <c r="L43" s="9">
        <f>IF(A43="","",F43-I43)</f>
      </c>
      <c r="M43" s="9">
        <f>IF(OR(A43="",H43=""),"",H43-F43)</f>
      </c>
    </row>
    <row r="44" spans="1:13" x14ac:dyDescent="0.25">
      <c r="I44" s="9">
        <f>IF(A44="","",SUMIFS('Claims'!$J:$J,'Claims'!$Q:$Q,A44))</f>
      </c>
      <c r="J44" s="9">
        <f>IF(A44="","",SUMIFS('Claims'!$T:$T,'Claims'!$Q:$Q,A44))</f>
      </c>
      <c r="K44" s="9">
        <f>IF(A44="","",SUMIFS('Retention'!$F:$F,'Retention'!$C:$C,A44)-SUMIFS('Retention'!$G:$G,'Retention'!$C:$C,A44))</f>
      </c>
      <c r="L44" s="9">
        <f>IF(A44="","",F44-I44)</f>
      </c>
      <c r="M44" s="9">
        <f>IF(OR(A44="",H44=""),"",H44-F44)</f>
      </c>
    </row>
    <row r="45" spans="1:13" x14ac:dyDescent="0.25">
      <c r="I45" s="9">
        <f>IF(A45="","",SUMIFS('Claims'!$J:$J,'Claims'!$Q:$Q,A45))</f>
      </c>
      <c r="J45" s="9">
        <f>IF(A45="","",SUMIFS('Claims'!$T:$T,'Claims'!$Q:$Q,A45))</f>
      </c>
      <c r="K45" s="9">
        <f>IF(A45="","",SUMIFS('Retention'!$F:$F,'Retention'!$C:$C,A45)-SUMIFS('Retention'!$G:$G,'Retention'!$C:$C,A45))</f>
      </c>
      <c r="L45" s="9">
        <f>IF(A45="","",F45-I45)</f>
      </c>
      <c r="M45" s="9">
        <f>IF(OR(A45="",H45=""),"",H45-F45)</f>
      </c>
    </row>
    <row r="46" spans="1:13" x14ac:dyDescent="0.25">
      <c r="I46" s="9">
        <f>IF(A46="","",SUMIFS('Claims'!$J:$J,'Claims'!$Q:$Q,A46))</f>
      </c>
      <c r="J46" s="9">
        <f>IF(A46="","",SUMIFS('Claims'!$T:$T,'Claims'!$Q:$Q,A46))</f>
      </c>
      <c r="K46" s="9">
        <f>IF(A46="","",SUMIFS('Retention'!$F:$F,'Retention'!$C:$C,A46)-SUMIFS('Retention'!$G:$G,'Retention'!$C:$C,A46))</f>
      </c>
      <c r="L46" s="9">
        <f>IF(A46="","",F46-I46)</f>
      </c>
      <c r="M46" s="9">
        <f>IF(OR(A46="",H46=""),"",H46-F46)</f>
      </c>
    </row>
    <row r="47" spans="1:13" x14ac:dyDescent="0.25">
      <c r="I47" s="9">
        <f>IF(A47="","",SUMIFS('Claims'!$J:$J,'Claims'!$Q:$Q,A47))</f>
      </c>
      <c r="J47" s="9">
        <f>IF(A47="","",SUMIFS('Claims'!$T:$T,'Claims'!$Q:$Q,A47))</f>
      </c>
      <c r="K47" s="9">
        <f>IF(A47="","",SUMIFS('Retention'!$F:$F,'Retention'!$C:$C,A47)-SUMIFS('Retention'!$G:$G,'Retention'!$C:$C,A47))</f>
      </c>
      <c r="L47" s="9">
        <f>IF(A47="","",F47-I47)</f>
      </c>
      <c r="M47" s="9">
        <f>IF(OR(A47="",H47=""),"",H47-F47)</f>
      </c>
    </row>
    <row r="49" spans="1:1" s="2" customFormat="1" x14ac:dyDescent="0.25">
      <c r="A49" s="2" t="s">
        <v>32</v>
      </c>
    </row>
  </sheetData>
  <dataValidations count="2">
    <dataValidation type="list" allowBlank="1" sqref="B10:B47">
      <formula1>"Subcontract,Order"</formula1>
    </dataValidation>
    <dataValidation type="list" allowBlank="1" sqref="B5:B47">
      <formula1>"Subcontract,Order"</formula1>
    </dataValidation>
  </dataValidation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pane xSplit="1" ySplit="4" topLeftCell="B5" activePane="bottomRight" state="frozen"/>
      <selection pane="bottomRight"/>
    </sheetView>
  </sheetViews>
  <sheetFormatPr defaultRowHeight="15" outlineLevelRow="0" outlineLevelCol="0" x14ac:dyDescent="55"/>
  <cols>
    <col min="1" max="1" width="16" customWidth="1"/>
    <col min="2" max="2" width="13" customWidth="1"/>
    <col min="3" max="3" width="11" customWidth="1"/>
    <col min="4" max="4" width="21" customWidth="1"/>
    <col min="5" max="5" width="11" customWidth="1"/>
    <col min="6" max="6" width="12" customWidth="1"/>
    <col min="7" max="7" width="11" customWidth="1"/>
    <col min="8" max="8" width="12" customWidth="1"/>
    <col min="9" max="9" width="14" customWidth="1"/>
    <col min="10" max="10" width="11" customWidth="1"/>
    <col min="11" max="11" width="21" customWidth="1"/>
    <col min="12" max="12" width="22" customWidth="1"/>
  </cols>
  <sheetData>
    <row r="1" spans="1:1" s="1" customFormat="1" x14ac:dyDescent="0.25">
      <c r="A1" s="1" t="s">
        <v>234</v>
      </c>
    </row>
    <row r="2" spans="1:1" s="2" customFormat="1" x14ac:dyDescent="0.25">
      <c r="A2" s="2" t="s">
        <v>235</v>
      </c>
    </row>
    <row r="4" spans="1:12" s="3" customFormat="1" x14ac:dyDescent="0.25">
      <c r="A4" s="7" t="s">
        <v>236</v>
      </c>
      <c r="B4" s="7" t="s">
        <v>237</v>
      </c>
      <c r="C4" s="7" t="s">
        <v>238</v>
      </c>
      <c r="D4" s="7" t="s">
        <v>239</v>
      </c>
      <c r="E4" s="7" t="s">
        <v>240</v>
      </c>
      <c r="F4" s="7" t="s">
        <v>241</v>
      </c>
      <c r="G4" s="7" t="s">
        <v>242</v>
      </c>
      <c r="H4" s="7" t="s">
        <v>243</v>
      </c>
      <c r="I4" s="7" t="s">
        <v>244</v>
      </c>
      <c r="J4" s="7" t="s">
        <v>69</v>
      </c>
      <c r="K4" s="7" t="s">
        <v>245</v>
      </c>
      <c r="L4" s="7" t="s">
        <v>246</v>
      </c>
    </row>
    <row r="5" spans="1:12" x14ac:dyDescent="0.25">
      <c r="A5" t="s">
        <v>247</v>
      </c>
      <c r="B5" s="8">
        <v>46296</v>
      </c>
      <c r="C5" t="s">
        <v>248</v>
      </c>
      <c r="D5" t="s">
        <v>249</v>
      </c>
      <c r="E5" t="s">
        <v>131</v>
      </c>
      <c r="F5" t="s">
        <v>250</v>
      </c>
      <c r="G5" t="s">
        <v>251</v>
      </c>
      <c r="H5" t="s">
        <v>102</v>
      </c>
      <c r="I5" s="8">
        <v>46296</v>
      </c>
      <c r="K5" s="10">
        <f>IF(OR(B5="",I5=""),"",I5-B5)</f>
      </c>
      <c r="L5" s="10">
        <f>IF(H5="","",IF(COUNTIF('Claims'!$A:$A,H5)+COUNTIF('Schedules'!$A:$A,H5)+COUNTIF('Variations'!$A:$A,H5)+COUNTIF('RFIs'!$A:$A,H5)+COUNTIF('Procurement'!$A:$A,H5)&gt;0,"Yes","Not found"))</f>
      </c>
    </row>
    <row r="6" spans="1:12" x14ac:dyDescent="0.25">
      <c r="A6" t="s">
        <v>252</v>
      </c>
      <c r="B6" s="8">
        <v>46315</v>
      </c>
      <c r="C6" t="s">
        <v>253</v>
      </c>
      <c r="D6" t="s">
        <v>254</v>
      </c>
      <c r="E6" t="s">
        <v>137</v>
      </c>
      <c r="F6" t="s">
        <v>255</v>
      </c>
      <c r="G6" t="s">
        <v>256</v>
      </c>
      <c r="H6" t="s">
        <v>150</v>
      </c>
      <c r="I6" s="8">
        <v>46315</v>
      </c>
      <c r="K6" s="10">
        <f>IF(OR(B6="",I6=""),"",I6-B6)</f>
      </c>
      <c r="L6" s="10">
        <f>IF(H6="","",IF(COUNTIF('Claims'!$A:$A,H6)+COUNTIF('Schedules'!$A:$A,H6)+COUNTIF('Variations'!$A:$A,H6)+COUNTIF('RFIs'!$A:$A,H6)+COUNTIF('Procurement'!$A:$A,H6)&gt;0,"Yes","Not found"))</f>
      </c>
    </row>
    <row r="7" spans="1:12" x14ac:dyDescent="0.25">
      <c r="A7" t="s">
        <v>257</v>
      </c>
      <c r="B7" s="8">
        <v>46328</v>
      </c>
      <c r="C7" t="s">
        <v>258</v>
      </c>
      <c r="D7" t="s">
        <v>259</v>
      </c>
      <c r="E7" t="s">
        <v>131</v>
      </c>
      <c r="F7" t="s">
        <v>255</v>
      </c>
      <c r="G7" t="s">
        <v>251</v>
      </c>
      <c r="H7" t="s">
        <v>103</v>
      </c>
      <c r="K7" s="10">
        <f>IF(OR(B7="",I7=""),"",I7-B7)</f>
      </c>
      <c r="L7" s="10">
        <f>IF(H7="","",IF(COUNTIF('Claims'!$A:$A,H7)+COUNTIF('Schedules'!$A:$A,H7)+COUNTIF('Variations'!$A:$A,H7)+COUNTIF('RFIs'!$A:$A,H7)+COUNTIF('Procurement'!$A:$A,H7)&gt;0,"Yes","Not found"))</f>
      </c>
    </row>
    <row r="8" spans="1:12" x14ac:dyDescent="0.25">
      <c r="K8" s="10">
        <f>IF(OR(B8="",I8=""),"",I8-B8)</f>
      </c>
      <c r="L8" s="10">
        <f>IF(H8="","",IF(COUNTIF('Claims'!$A:$A,H8)+COUNTIF('Schedules'!$A:$A,H8)+COUNTIF('Variations'!$A:$A,H8)+COUNTIF('RFIs'!$A:$A,H8)+COUNTIF('Procurement'!$A:$A,H8)&gt;0,"Yes","Not found"))</f>
      </c>
    </row>
    <row r="9" spans="1:12" x14ac:dyDescent="0.25">
      <c r="K9" s="10">
        <f>IF(OR(B9="",I9=""),"",I9-B9)</f>
      </c>
      <c r="L9" s="10">
        <f>IF(H9="","",IF(COUNTIF('Claims'!$A:$A,H9)+COUNTIF('Schedules'!$A:$A,H9)+COUNTIF('Variations'!$A:$A,H9)+COUNTIF('RFIs'!$A:$A,H9)+COUNTIF('Procurement'!$A:$A,H9)&gt;0,"Yes","Not found"))</f>
      </c>
    </row>
    <row r="10" spans="1:12" x14ac:dyDescent="0.25">
      <c r="K10" s="10">
        <f>IF(OR(B10="",I10=""),"",I10-B10)</f>
      </c>
      <c r="L10" s="10">
        <f>IF(H10="","",IF(COUNTIF('Claims'!$A:$A,H10)+COUNTIF('Schedules'!$A:$A,H10)+COUNTIF('Variations'!$A:$A,H10)+COUNTIF('RFIs'!$A:$A,H10)+COUNTIF('Procurement'!$A:$A,H10)&gt;0,"Yes","Not found"))</f>
      </c>
    </row>
    <row r="11" spans="1:12" x14ac:dyDescent="0.25">
      <c r="K11" s="10">
        <f>IF(OR(B11="",I11=""),"",I11-B11)</f>
      </c>
      <c r="L11" s="10">
        <f>IF(H11="","",IF(COUNTIF('Claims'!$A:$A,H11)+COUNTIF('Schedules'!$A:$A,H11)+COUNTIF('Variations'!$A:$A,H11)+COUNTIF('RFIs'!$A:$A,H11)+COUNTIF('Procurement'!$A:$A,H11)&gt;0,"Yes","Not found"))</f>
      </c>
    </row>
    <row r="12" spans="1:12" x14ac:dyDescent="0.25">
      <c r="K12" s="10">
        <f>IF(OR(B12="",I12=""),"",I12-B12)</f>
      </c>
      <c r="L12" s="10">
        <f>IF(H12="","",IF(COUNTIF('Claims'!$A:$A,H12)+COUNTIF('Schedules'!$A:$A,H12)+COUNTIF('Variations'!$A:$A,H12)+COUNTIF('RFIs'!$A:$A,H12)+COUNTIF('Procurement'!$A:$A,H12)&gt;0,"Yes","Not found"))</f>
      </c>
    </row>
    <row r="13" spans="1:12" x14ac:dyDescent="0.25">
      <c r="K13" s="10">
        <f>IF(OR(B13="",I13=""),"",I13-B13)</f>
      </c>
      <c r="L13" s="10">
        <f>IF(H13="","",IF(COUNTIF('Claims'!$A:$A,H13)+COUNTIF('Schedules'!$A:$A,H13)+COUNTIF('Variations'!$A:$A,H13)+COUNTIF('RFIs'!$A:$A,H13)+COUNTIF('Procurement'!$A:$A,H13)&gt;0,"Yes","Not found"))</f>
      </c>
    </row>
    <row r="14" spans="1:12" x14ac:dyDescent="0.25">
      <c r="K14" s="10">
        <f>IF(OR(B14="",I14=""),"",I14-B14)</f>
      </c>
      <c r="L14" s="10">
        <f>IF(H14="","",IF(COUNTIF('Claims'!$A:$A,H14)+COUNTIF('Schedules'!$A:$A,H14)+COUNTIF('Variations'!$A:$A,H14)+COUNTIF('RFIs'!$A:$A,H14)+COUNTIF('Procurement'!$A:$A,H14)&gt;0,"Yes","Not found"))</f>
      </c>
    </row>
    <row r="15" spans="1:12" x14ac:dyDescent="0.25">
      <c r="K15" s="10">
        <f>IF(OR(B15="",I15=""),"",I15-B15)</f>
      </c>
      <c r="L15" s="10">
        <f>IF(H15="","",IF(COUNTIF('Claims'!$A:$A,H15)+COUNTIF('Schedules'!$A:$A,H15)+COUNTIF('Variations'!$A:$A,H15)+COUNTIF('RFIs'!$A:$A,H15)+COUNTIF('Procurement'!$A:$A,H15)&gt;0,"Yes","Not found"))</f>
      </c>
    </row>
    <row r="16" spans="1:12" x14ac:dyDescent="0.25">
      <c r="K16" s="10">
        <f>IF(OR(B16="",I16=""),"",I16-B16)</f>
      </c>
      <c r="L16" s="10">
        <f>IF(H16="","",IF(COUNTIF('Claims'!$A:$A,H16)+COUNTIF('Schedules'!$A:$A,H16)+COUNTIF('Variations'!$A:$A,H16)+COUNTIF('RFIs'!$A:$A,H16)+COUNTIF('Procurement'!$A:$A,H16)&gt;0,"Yes","Not found"))</f>
      </c>
    </row>
    <row r="17" spans="1:12" x14ac:dyDescent="0.25">
      <c r="K17" s="10">
        <f>IF(OR(B17="",I17=""),"",I17-B17)</f>
      </c>
      <c r="L17" s="10">
        <f>IF(H17="","",IF(COUNTIF('Claims'!$A:$A,H17)+COUNTIF('Schedules'!$A:$A,H17)+COUNTIF('Variations'!$A:$A,H17)+COUNTIF('RFIs'!$A:$A,H17)+COUNTIF('Procurement'!$A:$A,H17)&gt;0,"Yes","Not found"))</f>
      </c>
    </row>
    <row r="18" spans="1:12" x14ac:dyDescent="0.25">
      <c r="K18" s="10">
        <f>IF(OR(B18="",I18=""),"",I18-B18)</f>
      </c>
      <c r="L18" s="10">
        <f>IF(H18="","",IF(COUNTIF('Claims'!$A:$A,H18)+COUNTIF('Schedules'!$A:$A,H18)+COUNTIF('Variations'!$A:$A,H18)+COUNTIF('RFIs'!$A:$A,H18)+COUNTIF('Procurement'!$A:$A,H18)&gt;0,"Yes","Not found"))</f>
      </c>
    </row>
    <row r="19" spans="1:12" x14ac:dyDescent="0.25">
      <c r="K19" s="10">
        <f>IF(OR(B19="",I19=""),"",I19-B19)</f>
      </c>
      <c r="L19" s="10">
        <f>IF(H19="","",IF(COUNTIF('Claims'!$A:$A,H19)+COUNTIF('Schedules'!$A:$A,H19)+COUNTIF('Variations'!$A:$A,H19)+COUNTIF('RFIs'!$A:$A,H19)+COUNTIF('Procurement'!$A:$A,H19)&gt;0,"Yes","Not found"))</f>
      </c>
    </row>
    <row r="20" spans="1:12" x14ac:dyDescent="0.25">
      <c r="K20" s="10">
        <f>IF(OR(B20="",I20=""),"",I20-B20)</f>
      </c>
      <c r="L20" s="10">
        <f>IF(H20="","",IF(COUNTIF('Claims'!$A:$A,H20)+COUNTIF('Schedules'!$A:$A,H20)+COUNTIF('Variations'!$A:$A,H20)+COUNTIF('RFIs'!$A:$A,H20)+COUNTIF('Procurement'!$A:$A,H20)&gt;0,"Yes","Not found"))</f>
      </c>
    </row>
    <row r="21" spans="1:12" x14ac:dyDescent="0.25">
      <c r="K21" s="10">
        <f>IF(OR(B21="",I21=""),"",I21-B21)</f>
      </c>
      <c r="L21" s="10">
        <f>IF(H21="","",IF(COUNTIF('Claims'!$A:$A,H21)+COUNTIF('Schedules'!$A:$A,H21)+COUNTIF('Variations'!$A:$A,H21)+COUNTIF('RFIs'!$A:$A,H21)+COUNTIF('Procurement'!$A:$A,H21)&gt;0,"Yes","Not found"))</f>
      </c>
    </row>
    <row r="22" spans="1:12" x14ac:dyDescent="0.25">
      <c r="K22" s="10">
        <f>IF(OR(B22="",I22=""),"",I22-B22)</f>
      </c>
      <c r="L22" s="10">
        <f>IF(H22="","",IF(COUNTIF('Claims'!$A:$A,H22)+COUNTIF('Schedules'!$A:$A,H22)+COUNTIF('Variations'!$A:$A,H22)+COUNTIF('RFIs'!$A:$A,H22)+COUNTIF('Procurement'!$A:$A,H22)&gt;0,"Yes","Not found"))</f>
      </c>
    </row>
    <row r="23" spans="1:12" x14ac:dyDescent="0.25">
      <c r="K23" s="10">
        <f>IF(OR(B23="",I23=""),"",I23-B23)</f>
      </c>
      <c r="L23" s="10">
        <f>IF(H23="","",IF(COUNTIF('Claims'!$A:$A,H23)+COUNTIF('Schedules'!$A:$A,H23)+COUNTIF('Variations'!$A:$A,H23)+COUNTIF('RFIs'!$A:$A,H23)+COUNTIF('Procurement'!$A:$A,H23)&gt;0,"Yes","Not found"))</f>
      </c>
    </row>
    <row r="24" spans="1:12" x14ac:dyDescent="0.25">
      <c r="K24" s="10">
        <f>IF(OR(B24="",I24=""),"",I24-B24)</f>
      </c>
      <c r="L24" s="10">
        <f>IF(H24="","",IF(COUNTIF('Claims'!$A:$A,H24)+COUNTIF('Schedules'!$A:$A,H24)+COUNTIF('Variations'!$A:$A,H24)+COUNTIF('RFIs'!$A:$A,H24)+COUNTIF('Procurement'!$A:$A,H24)&gt;0,"Yes","Not found"))</f>
      </c>
    </row>
    <row r="25" spans="1:12" x14ac:dyDescent="0.25">
      <c r="K25" s="10">
        <f>IF(OR(B25="",I25=""),"",I25-B25)</f>
      </c>
      <c r="L25" s="10">
        <f>IF(H25="","",IF(COUNTIF('Claims'!$A:$A,H25)+COUNTIF('Schedules'!$A:$A,H25)+COUNTIF('Variations'!$A:$A,H25)+COUNTIF('RFIs'!$A:$A,H25)+COUNTIF('Procurement'!$A:$A,H25)&gt;0,"Yes","Not found"))</f>
      </c>
    </row>
    <row r="26" spans="1:12" x14ac:dyDescent="0.25">
      <c r="K26" s="10">
        <f>IF(OR(B26="",I26=""),"",I26-B26)</f>
      </c>
      <c r="L26" s="10">
        <f>IF(H26="","",IF(COUNTIF('Claims'!$A:$A,H26)+COUNTIF('Schedules'!$A:$A,H26)+COUNTIF('Variations'!$A:$A,H26)+COUNTIF('RFIs'!$A:$A,H26)+COUNTIF('Procurement'!$A:$A,H26)&gt;0,"Yes","Not found"))</f>
      </c>
    </row>
    <row r="27" spans="1:12" x14ac:dyDescent="0.25">
      <c r="K27" s="10">
        <f>IF(OR(B27="",I27=""),"",I27-B27)</f>
      </c>
      <c r="L27" s="10">
        <f>IF(H27="","",IF(COUNTIF('Claims'!$A:$A,H27)+COUNTIF('Schedules'!$A:$A,H27)+COUNTIF('Variations'!$A:$A,H27)+COUNTIF('RFIs'!$A:$A,H27)+COUNTIF('Procurement'!$A:$A,H27)&gt;0,"Yes","Not found"))</f>
      </c>
    </row>
    <row r="28" spans="1:12" x14ac:dyDescent="0.25">
      <c r="K28" s="10">
        <f>IF(OR(B28="",I28=""),"",I28-B28)</f>
      </c>
      <c r="L28" s="10">
        <f>IF(H28="","",IF(COUNTIF('Claims'!$A:$A,H28)+COUNTIF('Schedules'!$A:$A,H28)+COUNTIF('Variations'!$A:$A,H28)+COUNTIF('RFIs'!$A:$A,H28)+COUNTIF('Procurement'!$A:$A,H28)&gt;0,"Yes","Not found"))</f>
      </c>
    </row>
    <row r="29" spans="1:12" x14ac:dyDescent="0.25">
      <c r="K29" s="10">
        <f>IF(OR(B29="",I29=""),"",I29-B29)</f>
      </c>
      <c r="L29" s="10">
        <f>IF(H29="","",IF(COUNTIF('Claims'!$A:$A,H29)+COUNTIF('Schedules'!$A:$A,H29)+COUNTIF('Variations'!$A:$A,H29)+COUNTIF('RFIs'!$A:$A,H29)+COUNTIF('Procurement'!$A:$A,H29)&gt;0,"Yes","Not found"))</f>
      </c>
    </row>
    <row r="30" spans="1:12" x14ac:dyDescent="0.25">
      <c r="K30" s="10">
        <f>IF(OR(B30="",I30=""),"",I30-B30)</f>
      </c>
      <c r="L30" s="10">
        <f>IF(H30="","",IF(COUNTIF('Claims'!$A:$A,H30)+COUNTIF('Schedules'!$A:$A,H30)+COUNTIF('Variations'!$A:$A,H30)+COUNTIF('RFIs'!$A:$A,H30)+COUNTIF('Procurement'!$A:$A,H30)&gt;0,"Yes","Not found"))</f>
      </c>
    </row>
    <row r="31" spans="1:12" x14ac:dyDescent="0.25">
      <c r="K31" s="10">
        <f>IF(OR(B31="",I31=""),"",I31-B31)</f>
      </c>
      <c r="L31" s="10">
        <f>IF(H31="","",IF(COUNTIF('Claims'!$A:$A,H31)+COUNTIF('Schedules'!$A:$A,H31)+COUNTIF('Variations'!$A:$A,H31)+COUNTIF('RFIs'!$A:$A,H31)+COUNTIF('Procurement'!$A:$A,H31)&gt;0,"Yes","Not found"))</f>
      </c>
    </row>
    <row r="32" spans="1:12" x14ac:dyDescent="0.25">
      <c r="K32" s="10">
        <f>IF(OR(B32="",I32=""),"",I32-B32)</f>
      </c>
      <c r="L32" s="10">
        <f>IF(H32="","",IF(COUNTIF('Claims'!$A:$A,H32)+COUNTIF('Schedules'!$A:$A,H32)+COUNTIF('Variations'!$A:$A,H32)+COUNTIF('RFIs'!$A:$A,H32)+COUNTIF('Procurement'!$A:$A,H32)&gt;0,"Yes","Not found"))</f>
      </c>
    </row>
    <row r="33" spans="1:12" x14ac:dyDescent="0.25">
      <c r="K33" s="10">
        <f>IF(OR(B33="",I33=""),"",I33-B33)</f>
      </c>
      <c r="L33" s="10">
        <f>IF(H33="","",IF(COUNTIF('Claims'!$A:$A,H33)+COUNTIF('Schedules'!$A:$A,H33)+COUNTIF('Variations'!$A:$A,H33)+COUNTIF('RFIs'!$A:$A,H33)+COUNTIF('Procurement'!$A:$A,H33)&gt;0,"Yes","Not found"))</f>
      </c>
    </row>
    <row r="34" spans="1:12" x14ac:dyDescent="0.25">
      <c r="K34" s="10">
        <f>IF(OR(B34="",I34=""),"",I34-B34)</f>
      </c>
      <c r="L34" s="10">
        <f>IF(H34="","",IF(COUNTIF('Claims'!$A:$A,H34)+COUNTIF('Schedules'!$A:$A,H34)+COUNTIF('Variations'!$A:$A,H34)+COUNTIF('RFIs'!$A:$A,H34)+COUNTIF('Procurement'!$A:$A,H34)&gt;0,"Yes","Not found"))</f>
      </c>
    </row>
    <row r="35" spans="1:12" x14ac:dyDescent="0.25">
      <c r="K35" s="10">
        <f>IF(OR(B35="",I35=""),"",I35-B35)</f>
      </c>
      <c r="L35" s="10">
        <f>IF(H35="","",IF(COUNTIF('Claims'!$A:$A,H35)+COUNTIF('Schedules'!$A:$A,H35)+COUNTIF('Variations'!$A:$A,H35)+COUNTIF('RFIs'!$A:$A,H35)+COUNTIF('Procurement'!$A:$A,H35)&gt;0,"Yes","Not found"))</f>
      </c>
    </row>
    <row r="36" spans="1:12" x14ac:dyDescent="0.25">
      <c r="K36" s="10">
        <f>IF(OR(B36="",I36=""),"",I36-B36)</f>
      </c>
      <c r="L36" s="10">
        <f>IF(H36="","",IF(COUNTIF('Claims'!$A:$A,H36)+COUNTIF('Schedules'!$A:$A,H36)+COUNTIF('Variations'!$A:$A,H36)+COUNTIF('RFIs'!$A:$A,H36)+COUNTIF('Procurement'!$A:$A,H36)&gt;0,"Yes","Not found"))</f>
      </c>
    </row>
    <row r="37" spans="1:12" x14ac:dyDescent="0.25">
      <c r="K37" s="10">
        <f>IF(OR(B37="",I37=""),"",I37-B37)</f>
      </c>
      <c r="L37" s="10">
        <f>IF(H37="","",IF(COUNTIF('Claims'!$A:$A,H37)+COUNTIF('Schedules'!$A:$A,H37)+COUNTIF('Variations'!$A:$A,H37)+COUNTIF('RFIs'!$A:$A,H37)+COUNTIF('Procurement'!$A:$A,H37)&gt;0,"Yes","Not found"))</f>
      </c>
    </row>
    <row r="38" spans="1:12" x14ac:dyDescent="0.25">
      <c r="K38" s="10">
        <f>IF(OR(B38="",I38=""),"",I38-B38)</f>
      </c>
      <c r="L38" s="10">
        <f>IF(H38="","",IF(COUNTIF('Claims'!$A:$A,H38)+COUNTIF('Schedules'!$A:$A,H38)+COUNTIF('Variations'!$A:$A,H38)+COUNTIF('RFIs'!$A:$A,H38)+COUNTIF('Procurement'!$A:$A,H38)&gt;0,"Yes","Not found"))</f>
      </c>
    </row>
    <row r="39" spans="1:12" x14ac:dyDescent="0.25">
      <c r="K39" s="10">
        <f>IF(OR(B39="",I39=""),"",I39-B39)</f>
      </c>
      <c r="L39" s="10">
        <f>IF(H39="","",IF(COUNTIF('Claims'!$A:$A,H39)+COUNTIF('Schedules'!$A:$A,H39)+COUNTIF('Variations'!$A:$A,H39)+COUNTIF('RFIs'!$A:$A,H39)+COUNTIF('Procurement'!$A:$A,H39)&gt;0,"Yes","Not found"))</f>
      </c>
    </row>
    <row r="40" spans="1:12" x14ac:dyDescent="0.25">
      <c r="K40" s="10">
        <f>IF(OR(B40="",I40=""),"",I40-B40)</f>
      </c>
      <c r="L40" s="10">
        <f>IF(H40="","",IF(COUNTIF('Claims'!$A:$A,H40)+COUNTIF('Schedules'!$A:$A,H40)+COUNTIF('Variations'!$A:$A,H40)+COUNTIF('RFIs'!$A:$A,H40)+COUNTIF('Procurement'!$A:$A,H40)&gt;0,"Yes","Not found"))</f>
      </c>
    </row>
    <row r="41" spans="1:12" x14ac:dyDescent="0.25">
      <c r="K41" s="10">
        <f>IF(OR(B41="",I41=""),"",I41-B41)</f>
      </c>
      <c r="L41" s="10">
        <f>IF(H41="","",IF(COUNTIF('Claims'!$A:$A,H41)+COUNTIF('Schedules'!$A:$A,H41)+COUNTIF('Variations'!$A:$A,H41)+COUNTIF('RFIs'!$A:$A,H41)+COUNTIF('Procurement'!$A:$A,H41)&gt;0,"Yes","Not found"))</f>
      </c>
    </row>
    <row r="42" spans="1:12" x14ac:dyDescent="0.25">
      <c r="K42" s="10">
        <f>IF(OR(B42="",I42=""),"",I42-B42)</f>
      </c>
      <c r="L42" s="10">
        <f>IF(H42="","",IF(COUNTIF('Claims'!$A:$A,H42)+COUNTIF('Schedules'!$A:$A,H42)+COUNTIF('Variations'!$A:$A,H42)+COUNTIF('RFIs'!$A:$A,H42)+COUNTIF('Procurement'!$A:$A,H42)&gt;0,"Yes","Not found"))</f>
      </c>
    </row>
    <row r="43" spans="1:12" x14ac:dyDescent="0.25">
      <c r="K43" s="10">
        <f>IF(OR(B43="",I43=""),"",I43-B43)</f>
      </c>
      <c r="L43" s="10">
        <f>IF(H43="","",IF(COUNTIF('Claims'!$A:$A,H43)+COUNTIF('Schedules'!$A:$A,H43)+COUNTIF('Variations'!$A:$A,H43)+COUNTIF('RFIs'!$A:$A,H43)+COUNTIF('Procurement'!$A:$A,H43)&gt;0,"Yes","Not found"))</f>
      </c>
    </row>
    <row r="44" spans="1:12" x14ac:dyDescent="0.25">
      <c r="K44" s="10">
        <f>IF(OR(B44="",I44=""),"",I44-B44)</f>
      </c>
      <c r="L44" s="10">
        <f>IF(H44="","",IF(COUNTIF('Claims'!$A:$A,H44)+COUNTIF('Schedules'!$A:$A,H44)+COUNTIF('Variations'!$A:$A,H44)+COUNTIF('RFIs'!$A:$A,H44)+COUNTIF('Procurement'!$A:$A,H44)&gt;0,"Yes","Not found"))</f>
      </c>
    </row>
    <row r="45" spans="1:12" x14ac:dyDescent="0.25">
      <c r="K45" s="10">
        <f>IF(OR(B45="",I45=""),"",I45-B45)</f>
      </c>
      <c r="L45" s="10">
        <f>IF(H45="","",IF(COUNTIF('Claims'!$A:$A,H45)+COUNTIF('Schedules'!$A:$A,H45)+COUNTIF('Variations'!$A:$A,H45)+COUNTIF('RFIs'!$A:$A,H45)+COUNTIF('Procurement'!$A:$A,H45)&gt;0,"Yes","Not found"))</f>
      </c>
    </row>
    <row r="46" spans="1:12" x14ac:dyDescent="0.25">
      <c r="K46" s="10">
        <f>IF(OR(B46="",I46=""),"",I46-B46)</f>
      </c>
      <c r="L46" s="10">
        <f>IF(H46="","",IF(COUNTIF('Claims'!$A:$A,H46)+COUNTIF('Schedules'!$A:$A,H46)+COUNTIF('Variations'!$A:$A,H46)+COUNTIF('RFIs'!$A:$A,H46)+COUNTIF('Procurement'!$A:$A,H46)&gt;0,"Yes","Not found"))</f>
      </c>
    </row>
    <row r="47" spans="1:12" x14ac:dyDescent="0.25">
      <c r="K47" s="10">
        <f>IF(OR(B47="",I47=""),"",I47-B47)</f>
      </c>
      <c r="L47" s="10">
        <f>IF(H47="","",IF(COUNTIF('Claims'!$A:$A,H47)+COUNTIF('Schedules'!$A:$A,H47)+COUNTIF('Variations'!$A:$A,H47)+COUNTIF('RFIs'!$A:$A,H47)+COUNTIF('Procurement'!$A:$A,H47)&gt;0,"Yes","Not found"))</f>
      </c>
    </row>
    <row r="49" spans="1:1" s="2" customFormat="1" x14ac:dyDescent="0.25">
      <c r="A49" s="2" t="s">
        <v>32</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pane xSplit="1" ySplit="4" topLeftCell="B5" activePane="bottomRight" state="frozen"/>
      <selection pane="bottomRight"/>
    </sheetView>
  </sheetViews>
  <sheetFormatPr defaultRowHeight="15" outlineLevelRow="0" outlineLevelCol="0" x14ac:dyDescent="55"/>
  <cols>
    <col min="1" max="4" width="11" customWidth="1"/>
    <col min="5" max="5" width="16" customWidth="1"/>
    <col min="6" max="9" width="11" customWidth="1"/>
    <col min="10" max="10" width="13" customWidth="1"/>
    <col min="11" max="11" width="14" customWidth="1"/>
    <col min="12" max="12" width="11" customWidth="1"/>
    <col min="13" max="13" width="12" customWidth="1"/>
    <col min="14" max="14" width="13" customWidth="1"/>
    <col min="15" max="15" width="32" customWidth="1"/>
  </cols>
  <sheetData>
    <row r="1" spans="1:1" s="1" customFormat="1" x14ac:dyDescent="0.25">
      <c r="A1" s="1" t="s">
        <v>260</v>
      </c>
    </row>
    <row r="2" spans="1:1" s="2" customFormat="1" x14ac:dyDescent="0.25">
      <c r="A2" s="2" t="s">
        <v>261</v>
      </c>
    </row>
    <row r="4" spans="1:15" s="3" customFormat="1" x14ac:dyDescent="0.25">
      <c r="A4" s="7" t="s">
        <v>66</v>
      </c>
      <c r="B4" s="7" t="s">
        <v>63</v>
      </c>
      <c r="C4" s="7" t="s">
        <v>262</v>
      </c>
      <c r="D4" s="7" t="s">
        <v>263</v>
      </c>
      <c r="E4" s="7" t="s">
        <v>264</v>
      </c>
      <c r="F4" s="7" t="s">
        <v>265</v>
      </c>
      <c r="G4" s="7" t="s">
        <v>266</v>
      </c>
      <c r="H4" s="7" t="s">
        <v>267</v>
      </c>
      <c r="I4" s="7" t="s">
        <v>268</v>
      </c>
      <c r="J4" s="7" t="s">
        <v>269</v>
      </c>
      <c r="K4" s="7" t="s">
        <v>270</v>
      </c>
      <c r="L4" s="7" t="s">
        <v>271</v>
      </c>
      <c r="M4" s="7" t="s">
        <v>67</v>
      </c>
      <c r="N4" s="7" t="s">
        <v>272</v>
      </c>
      <c r="O4" s="7" t="s">
        <v>273</v>
      </c>
    </row>
    <row r="5" spans="1:15" x14ac:dyDescent="0.25">
      <c r="A5" t="s">
        <v>75</v>
      </c>
      <c r="B5" s="8">
        <v>46290</v>
      </c>
      <c r="C5" t="s">
        <v>274</v>
      </c>
      <c r="D5" t="s">
        <v>275</v>
      </c>
      <c r="E5">
        <v>8</v>
      </c>
      <c r="F5" t="s">
        <v>276</v>
      </c>
      <c r="G5" t="s">
        <v>48</v>
      </c>
      <c r="H5" t="s">
        <v>277</v>
      </c>
      <c r="L5" t="s">
        <v>278</v>
      </c>
      <c r="M5" t="s">
        <v>279</v>
      </c>
      <c r="N5" t="s">
        <v>212</v>
      </c>
      <c r="O5" s="10">
        <f>IF(A5="","",COUNTIF('Measurement'!$F:$F,A5))</f>
      </c>
    </row>
    <row r="6" spans="1:15" x14ac:dyDescent="0.25">
      <c r="A6" t="s">
        <v>80</v>
      </c>
      <c r="B6" s="8">
        <v>46311</v>
      </c>
      <c r="C6" t="s">
        <v>280</v>
      </c>
      <c r="D6" t="s">
        <v>281</v>
      </c>
      <c r="E6">
        <v>6</v>
      </c>
      <c r="F6" t="s">
        <v>282</v>
      </c>
      <c r="G6" t="s">
        <v>51</v>
      </c>
      <c r="H6" t="s">
        <v>283</v>
      </c>
      <c r="I6" t="s">
        <v>284</v>
      </c>
      <c r="J6" t="s">
        <v>262</v>
      </c>
      <c r="K6" t="s">
        <v>285</v>
      </c>
      <c r="M6" t="s">
        <v>81</v>
      </c>
      <c r="N6" t="s">
        <v>212</v>
      </c>
      <c r="O6" s="10">
        <f>IF(A6="","",COUNTIF('Measurement'!$F:$F,A6))</f>
      </c>
    </row>
    <row r="7" spans="1:15" x14ac:dyDescent="0.25">
      <c r="A7" t="s">
        <v>84</v>
      </c>
      <c r="B7" s="8">
        <v>46325</v>
      </c>
      <c r="C7" t="s">
        <v>274</v>
      </c>
      <c r="D7" t="s">
        <v>286</v>
      </c>
      <c r="E7">
        <v>7</v>
      </c>
      <c r="F7" t="s">
        <v>287</v>
      </c>
      <c r="G7" t="s">
        <v>288</v>
      </c>
      <c r="H7" t="s">
        <v>289</v>
      </c>
      <c r="L7" t="s">
        <v>290</v>
      </c>
      <c r="M7" t="s">
        <v>291</v>
      </c>
      <c r="N7" t="s">
        <v>212</v>
      </c>
      <c r="O7" s="10">
        <f>IF(A7="","",COUNTIF('Measurement'!$F:$F,A7))</f>
      </c>
    </row>
    <row r="8" spans="1:15" x14ac:dyDescent="0.25">
      <c r="A8" t="s">
        <v>292</v>
      </c>
      <c r="B8" s="8">
        <v>46328</v>
      </c>
      <c r="C8" t="s">
        <v>293</v>
      </c>
      <c r="D8" t="s">
        <v>294</v>
      </c>
      <c r="E8">
        <v>7</v>
      </c>
      <c r="F8" t="s">
        <v>282</v>
      </c>
      <c r="G8" t="s">
        <v>295</v>
      </c>
      <c r="H8" t="s">
        <v>296</v>
      </c>
      <c r="I8" t="s">
        <v>297</v>
      </c>
      <c r="J8" t="s">
        <v>262</v>
      </c>
      <c r="M8" t="s">
        <v>298</v>
      </c>
      <c r="N8" t="s">
        <v>212</v>
      </c>
      <c r="O8" s="10">
        <f>IF(A8="","",COUNTIF('Measurement'!$F:$F,A8))</f>
      </c>
    </row>
    <row r="9" spans="1:15" x14ac:dyDescent="0.25">
      <c r="A9" t="s">
        <v>91</v>
      </c>
      <c r="B9" s="8">
        <v>46330</v>
      </c>
      <c r="C9" t="s">
        <v>274</v>
      </c>
      <c r="D9" t="s">
        <v>294</v>
      </c>
      <c r="E9">
        <v>7</v>
      </c>
      <c r="F9" t="s">
        <v>282</v>
      </c>
      <c r="G9" t="s">
        <v>295</v>
      </c>
      <c r="H9" t="s">
        <v>299</v>
      </c>
      <c r="K9" t="s">
        <v>300</v>
      </c>
      <c r="M9" t="s">
        <v>92</v>
      </c>
      <c r="N9" t="s">
        <v>212</v>
      </c>
      <c r="O9" s="10">
        <f>IF(A9="","",COUNTIF('Measurement'!$F:$F,A9))</f>
      </c>
    </row>
    <row r="10" spans="1:15" x14ac:dyDescent="0.25">
      <c r="O10" s="10">
        <f>IF(A10="","",COUNTIF('Measurement'!$F:$F,A10))</f>
      </c>
    </row>
    <row r="11" spans="1:15" x14ac:dyDescent="0.25">
      <c r="O11" s="10">
        <f>IF(A11="","",COUNTIF('Measurement'!$F:$F,A11))</f>
      </c>
    </row>
    <row r="12" spans="1:15" x14ac:dyDescent="0.25">
      <c r="O12" s="10">
        <f>IF(A12="","",COUNTIF('Measurement'!$F:$F,A12))</f>
      </c>
    </row>
    <row r="13" spans="1:15" x14ac:dyDescent="0.25">
      <c r="O13" s="10">
        <f>IF(A13="","",COUNTIF('Measurement'!$F:$F,A13))</f>
      </c>
    </row>
    <row r="14" spans="1:15" x14ac:dyDescent="0.25">
      <c r="O14" s="10">
        <f>IF(A14="","",COUNTIF('Measurement'!$F:$F,A14))</f>
      </c>
    </row>
    <row r="15" spans="1:15" x14ac:dyDescent="0.25">
      <c r="O15" s="10">
        <f>IF(A15="","",COUNTIF('Measurement'!$F:$F,A15))</f>
      </c>
    </row>
    <row r="16" spans="1:15" x14ac:dyDescent="0.25">
      <c r="O16" s="10">
        <f>IF(A16="","",COUNTIF('Measurement'!$F:$F,A16))</f>
      </c>
    </row>
    <row r="17" spans="1:15" x14ac:dyDescent="0.25">
      <c r="O17" s="10">
        <f>IF(A17="","",COUNTIF('Measurement'!$F:$F,A17))</f>
      </c>
    </row>
    <row r="18" spans="1:15" x14ac:dyDescent="0.25">
      <c r="O18" s="10">
        <f>IF(A18="","",COUNTIF('Measurement'!$F:$F,A18))</f>
      </c>
    </row>
    <row r="19" spans="1:15" x14ac:dyDescent="0.25">
      <c r="O19" s="10">
        <f>IF(A19="","",COUNTIF('Measurement'!$F:$F,A19))</f>
      </c>
    </row>
    <row r="20" spans="1:15" x14ac:dyDescent="0.25">
      <c r="O20" s="10">
        <f>IF(A20="","",COUNTIF('Measurement'!$F:$F,A20))</f>
      </c>
    </row>
    <row r="21" spans="1:15" x14ac:dyDescent="0.25">
      <c r="O21" s="10">
        <f>IF(A21="","",COUNTIF('Measurement'!$F:$F,A21))</f>
      </c>
    </row>
    <row r="22" spans="1:15" x14ac:dyDescent="0.25">
      <c r="O22" s="10">
        <f>IF(A22="","",COUNTIF('Measurement'!$F:$F,A22))</f>
      </c>
    </row>
    <row r="23" spans="1:15" x14ac:dyDescent="0.25">
      <c r="O23" s="10">
        <f>IF(A23="","",COUNTIF('Measurement'!$F:$F,A23))</f>
      </c>
    </row>
    <row r="24" spans="1:15" x14ac:dyDescent="0.25">
      <c r="O24" s="10">
        <f>IF(A24="","",COUNTIF('Measurement'!$F:$F,A24))</f>
      </c>
    </row>
    <row r="25" spans="1:15" x14ac:dyDescent="0.25">
      <c r="O25" s="10">
        <f>IF(A25="","",COUNTIF('Measurement'!$F:$F,A25))</f>
      </c>
    </row>
    <row r="26" spans="1:15" x14ac:dyDescent="0.25">
      <c r="O26" s="10">
        <f>IF(A26="","",COUNTIF('Measurement'!$F:$F,A26))</f>
      </c>
    </row>
    <row r="27" spans="1:15" x14ac:dyDescent="0.25">
      <c r="O27" s="10">
        <f>IF(A27="","",COUNTIF('Measurement'!$F:$F,A27))</f>
      </c>
    </row>
    <row r="28" spans="1:15" x14ac:dyDescent="0.25">
      <c r="O28" s="10">
        <f>IF(A28="","",COUNTIF('Measurement'!$F:$F,A28))</f>
      </c>
    </row>
    <row r="29" spans="1:15" x14ac:dyDescent="0.25">
      <c r="O29" s="10">
        <f>IF(A29="","",COUNTIF('Measurement'!$F:$F,A29))</f>
      </c>
    </row>
    <row r="30" spans="1:15" x14ac:dyDescent="0.25">
      <c r="O30" s="10">
        <f>IF(A30="","",COUNTIF('Measurement'!$F:$F,A30))</f>
      </c>
    </row>
    <row r="31" spans="1:15" x14ac:dyDescent="0.25">
      <c r="O31" s="10">
        <f>IF(A31="","",COUNTIF('Measurement'!$F:$F,A31))</f>
      </c>
    </row>
    <row r="32" spans="1:15" x14ac:dyDescent="0.25">
      <c r="O32" s="10">
        <f>IF(A32="","",COUNTIF('Measurement'!$F:$F,A32))</f>
      </c>
    </row>
    <row r="33" spans="1:15" x14ac:dyDescent="0.25">
      <c r="O33" s="10">
        <f>IF(A33="","",COUNTIF('Measurement'!$F:$F,A33))</f>
      </c>
    </row>
    <row r="34" spans="1:15" x14ac:dyDescent="0.25">
      <c r="O34" s="10">
        <f>IF(A34="","",COUNTIF('Measurement'!$F:$F,A34))</f>
      </c>
    </row>
    <row r="35" spans="1:15" x14ac:dyDescent="0.25">
      <c r="O35" s="10">
        <f>IF(A35="","",COUNTIF('Measurement'!$F:$F,A35))</f>
      </c>
    </row>
    <row r="36" spans="1:15" x14ac:dyDescent="0.25">
      <c r="O36" s="10">
        <f>IF(A36="","",COUNTIF('Measurement'!$F:$F,A36))</f>
      </c>
    </row>
    <row r="37" spans="1:15" x14ac:dyDescent="0.25">
      <c r="O37" s="10">
        <f>IF(A37="","",COUNTIF('Measurement'!$F:$F,A37))</f>
      </c>
    </row>
    <row r="38" spans="1:15" x14ac:dyDescent="0.25">
      <c r="O38" s="10">
        <f>IF(A38="","",COUNTIF('Measurement'!$F:$F,A38))</f>
      </c>
    </row>
    <row r="39" spans="1:15" x14ac:dyDescent="0.25">
      <c r="O39" s="10">
        <f>IF(A39="","",COUNTIF('Measurement'!$F:$F,A39))</f>
      </c>
    </row>
    <row r="40" spans="1:15" x14ac:dyDescent="0.25">
      <c r="O40" s="10">
        <f>IF(A40="","",COUNTIF('Measurement'!$F:$F,A40))</f>
      </c>
    </row>
    <row r="41" spans="1:15" x14ac:dyDescent="0.25">
      <c r="O41" s="10">
        <f>IF(A41="","",COUNTIF('Measurement'!$F:$F,A41))</f>
      </c>
    </row>
    <row r="42" spans="1:15" x14ac:dyDescent="0.25">
      <c r="O42" s="10">
        <f>IF(A42="","",COUNTIF('Measurement'!$F:$F,A42))</f>
      </c>
    </row>
    <row r="43" spans="1:15" x14ac:dyDescent="0.25">
      <c r="O43" s="10">
        <f>IF(A43="","",COUNTIF('Measurement'!$F:$F,A43))</f>
      </c>
    </row>
    <row r="44" spans="1:15" x14ac:dyDescent="0.25">
      <c r="O44" s="10">
        <f>IF(A44="","",COUNTIF('Measurement'!$F:$F,A44))</f>
      </c>
    </row>
    <row r="45" spans="1:15" x14ac:dyDescent="0.25">
      <c r="O45" s="10">
        <f>IF(A45="","",COUNTIF('Measurement'!$F:$F,A45))</f>
      </c>
    </row>
    <row r="46" spans="1:15" x14ac:dyDescent="0.25">
      <c r="O46" s="10">
        <f>IF(A46="","",COUNTIF('Measurement'!$F:$F,A46))</f>
      </c>
    </row>
    <row r="47" spans="1:15" x14ac:dyDescent="0.25">
      <c r="O47" s="10">
        <f>IF(A47="","",COUNTIF('Measurement'!$F:$F,A47))</f>
      </c>
    </row>
    <row r="48" spans="1:15" x14ac:dyDescent="0.25">
      <c r="O48" s="10">
        <f>IF(A48="","",COUNTIF('Measurement'!$F:$F,A48))</f>
      </c>
    </row>
    <row r="49" spans="1:15" x14ac:dyDescent="0.25">
      <c r="O49" s="10">
        <f>IF(A49="","",COUNTIF('Measurement'!$F:$F,A49))</f>
      </c>
    </row>
    <row r="51" spans="1:1" s="2" customFormat="1" x14ac:dyDescent="0.25">
      <c r="A51" s="2" t="s">
        <v>32</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pane xSplit="1" ySplit="4" topLeftCell="B5" activePane="bottomRight" state="frozen"/>
      <selection pane="bottomRight"/>
    </sheetView>
  </sheetViews>
  <sheetFormatPr defaultRowHeight="15" outlineLevelRow="0" outlineLevelCol="0" x14ac:dyDescent="55"/>
  <cols>
    <col min="1" max="2" width="11" customWidth="1"/>
    <col min="3" max="3" width="13" customWidth="1"/>
    <col min="4" max="4" width="11" customWidth="1"/>
    <col min="5" max="5" width="17" customWidth="1"/>
    <col min="6" max="8" width="11" customWidth="1"/>
    <col min="9" max="9" width="24" customWidth="1"/>
    <col min="10" max="10" width="18" customWidth="1"/>
    <col min="11" max="11" width="16" customWidth="1"/>
    <col min="12" max="12" width="35" customWidth="1"/>
  </cols>
  <sheetData>
    <row r="1" spans="1:1" s="1" customFormat="1" x14ac:dyDescent="0.25">
      <c r="A1" s="1" t="s">
        <v>301</v>
      </c>
    </row>
    <row r="2" spans="1:1" s="2" customFormat="1" x14ac:dyDescent="0.25">
      <c r="A2" s="2" t="s">
        <v>302</v>
      </c>
    </row>
    <row r="4" spans="1:12" s="3" customFormat="1" x14ac:dyDescent="0.25">
      <c r="A4" s="7" t="s">
        <v>303</v>
      </c>
      <c r="B4" s="7" t="s">
        <v>304</v>
      </c>
      <c r="C4" s="7" t="s">
        <v>36</v>
      </c>
      <c r="D4" s="7" t="s">
        <v>305</v>
      </c>
      <c r="E4" s="7" t="s">
        <v>306</v>
      </c>
      <c r="F4" s="7" t="s">
        <v>307</v>
      </c>
      <c r="G4" s="7" t="s">
        <v>308</v>
      </c>
      <c r="H4" s="7" t="s">
        <v>69</v>
      </c>
      <c r="I4" s="7" t="s">
        <v>221</v>
      </c>
      <c r="J4" s="7" t="s">
        <v>309</v>
      </c>
      <c r="K4" s="7" t="s">
        <v>310</v>
      </c>
      <c r="L4" s="7" t="s">
        <v>311</v>
      </c>
    </row>
    <row r="5" spans="1:12" x14ac:dyDescent="0.25">
      <c r="A5" t="s">
        <v>312</v>
      </c>
      <c r="B5" t="s">
        <v>313</v>
      </c>
      <c r="C5" t="s">
        <v>314</v>
      </c>
      <c r="D5" t="s">
        <v>315</v>
      </c>
      <c r="E5">
        <v>38000</v>
      </c>
      <c r="G5" t="s">
        <v>316</v>
      </c>
      <c r="H5" t="s">
        <v>317</v>
      </c>
      <c r="I5">
        <v>39500</v>
      </c>
      <c r="J5" s="9">
        <f>IF(A5="","",SUMIFS('Budget changes'!$D:$D,'Budget changes'!$C:$C,A5,'Budget changes'!$G:$G,"Approved")-SUMIFS('Budget changes'!$D:$D,'Budget changes'!$E:$E,A5,'Budget changes'!$G:$G,"Approved"))</f>
      </c>
      <c r="K5" s="9">
        <f>IF(A5="","",N(E5)+N(J5))</f>
      </c>
      <c r="L5" s="9">
        <f>IF(OR(A5="",I5=""),"",K5-I5)</f>
      </c>
    </row>
    <row r="6" spans="1:12" x14ac:dyDescent="0.25">
      <c r="A6" t="s">
        <v>318</v>
      </c>
      <c r="B6" t="s">
        <v>319</v>
      </c>
      <c r="C6" t="s">
        <v>229</v>
      </c>
      <c r="D6" t="s">
        <v>227</v>
      </c>
      <c r="E6">
        <v>60000</v>
      </c>
      <c r="F6" t="s">
        <v>138</v>
      </c>
      <c r="G6" t="s">
        <v>320</v>
      </c>
      <c r="J6" s="9">
        <f>IF(A6="","",SUMIFS('Budget changes'!$D:$D,'Budget changes'!$C:$C,A6,'Budget changes'!$G:$G,"Approved")-SUMIFS('Budget changes'!$D:$D,'Budget changes'!$E:$E,A6,'Budget changes'!$G:$G,"Approved"))</f>
      </c>
      <c r="K6" s="9">
        <f>IF(A6="","",N(E6)+N(J6))</f>
      </c>
      <c r="L6" s="9">
        <f>IF(OR(A6="",I6=""),"",K6-I6)</f>
      </c>
    </row>
    <row r="7" spans="1:12" x14ac:dyDescent="0.25">
      <c r="A7" t="s">
        <v>321</v>
      </c>
      <c r="B7" t="s">
        <v>322</v>
      </c>
      <c r="C7" t="s">
        <v>233</v>
      </c>
      <c r="D7" t="s">
        <v>323</v>
      </c>
      <c r="E7">
        <v>30000</v>
      </c>
      <c r="F7" t="s">
        <v>230</v>
      </c>
      <c r="G7" t="s">
        <v>320</v>
      </c>
      <c r="J7" s="9">
        <f>IF(A7="","",SUMIFS('Budget changes'!$D:$D,'Budget changes'!$C:$C,A7,'Budget changes'!$G:$G,"Approved")-SUMIFS('Budget changes'!$D:$D,'Budget changes'!$E:$E,A7,'Budget changes'!$G:$G,"Approved"))</f>
      </c>
      <c r="K7" s="9">
        <f>IF(A7="","",N(E7)+N(J7))</f>
      </c>
      <c r="L7" s="9">
        <f>IF(OR(A7="",I7=""),"",K7-I7)</f>
      </c>
    </row>
    <row r="8" spans="1:12" x14ac:dyDescent="0.25">
      <c r="A8" t="s">
        <v>324</v>
      </c>
      <c r="B8" t="s">
        <v>325</v>
      </c>
      <c r="C8" t="s">
        <v>326</v>
      </c>
      <c r="D8" t="s">
        <v>227</v>
      </c>
      <c r="E8">
        <v>50000</v>
      </c>
      <c r="F8" t="s">
        <v>135</v>
      </c>
      <c r="G8" t="s">
        <v>320</v>
      </c>
      <c r="J8" s="9">
        <f>IF(A8="","",SUMIFS('Budget changes'!$D:$D,'Budget changes'!$C:$C,A8,'Budget changes'!$G:$G,"Approved")-SUMIFS('Budget changes'!$D:$D,'Budget changes'!$E:$E,A8,'Budget changes'!$G:$G,"Approved"))</f>
      </c>
      <c r="K8" s="9">
        <f>IF(A8="","",N(E8)+N(J8))</f>
      </c>
      <c r="L8" s="9">
        <f>IF(OR(A8="",I8=""),"",K8-I8)</f>
      </c>
    </row>
    <row r="9" spans="1:12" x14ac:dyDescent="0.25">
      <c r="A9" t="s">
        <v>327</v>
      </c>
      <c r="B9" t="s">
        <v>328</v>
      </c>
      <c r="C9" t="s">
        <v>329</v>
      </c>
      <c r="D9" t="s">
        <v>329</v>
      </c>
      <c r="E9">
        <v>15000</v>
      </c>
      <c r="G9" t="s">
        <v>330</v>
      </c>
      <c r="J9" s="9">
        <f>IF(A9="","",SUMIFS('Budget changes'!$D:$D,'Budget changes'!$C:$C,A9,'Budget changes'!$G:$G,"Approved")-SUMIFS('Budget changes'!$D:$D,'Budget changes'!$E:$E,A9,'Budget changes'!$G:$G,"Approved"))</f>
      </c>
      <c r="K9" s="9">
        <f>IF(A9="","",N(E9)+N(J9))</f>
      </c>
      <c r="L9" s="9">
        <f>IF(OR(A9="",I9=""),"",K9-I9)</f>
      </c>
    </row>
    <row r="10" spans="1:12" x14ac:dyDescent="0.25">
      <c r="J10" s="9">
        <f>IF(A10="","",SUMIFS('Budget changes'!$D:$D,'Budget changes'!$C:$C,A10,'Budget changes'!$G:$G,"Approved")-SUMIFS('Budget changes'!$D:$D,'Budget changes'!$E:$E,A10,'Budget changes'!$G:$G,"Approved"))</f>
      </c>
      <c r="K10" s="9">
        <f>IF(A10="","",N(E10)+N(J10))</f>
      </c>
      <c r="L10" s="9">
        <f>IF(OR(A10="",I10=""),"",K10-I10)</f>
      </c>
    </row>
    <row r="11" spans="1:12" x14ac:dyDescent="0.25">
      <c r="J11" s="9">
        <f>IF(A11="","",SUMIFS('Budget changes'!$D:$D,'Budget changes'!$C:$C,A11,'Budget changes'!$G:$G,"Approved")-SUMIFS('Budget changes'!$D:$D,'Budget changes'!$E:$E,A11,'Budget changes'!$G:$G,"Approved"))</f>
      </c>
      <c r="K11" s="9">
        <f>IF(A11="","",N(E11)+N(J11))</f>
      </c>
      <c r="L11" s="9">
        <f>IF(OR(A11="",I11=""),"",K11-I11)</f>
      </c>
    </row>
    <row r="12" spans="1:12" x14ac:dyDescent="0.25">
      <c r="J12" s="9">
        <f>IF(A12="","",SUMIFS('Budget changes'!$D:$D,'Budget changes'!$C:$C,A12,'Budget changes'!$G:$G,"Approved")-SUMIFS('Budget changes'!$D:$D,'Budget changes'!$E:$E,A12,'Budget changes'!$G:$G,"Approved"))</f>
      </c>
      <c r="K12" s="9">
        <f>IF(A12="","",N(E12)+N(J12))</f>
      </c>
      <c r="L12" s="9">
        <f>IF(OR(A12="",I12=""),"",K12-I12)</f>
      </c>
    </row>
    <row r="13" spans="1:12" x14ac:dyDescent="0.25">
      <c r="J13" s="9">
        <f>IF(A13="","",SUMIFS('Budget changes'!$D:$D,'Budget changes'!$C:$C,A13,'Budget changes'!$G:$G,"Approved")-SUMIFS('Budget changes'!$D:$D,'Budget changes'!$E:$E,A13,'Budget changes'!$G:$G,"Approved"))</f>
      </c>
      <c r="K13" s="9">
        <f>IF(A13="","",N(E13)+N(J13))</f>
      </c>
      <c r="L13" s="9">
        <f>IF(OR(A13="",I13=""),"",K13-I13)</f>
      </c>
    </row>
    <row r="14" spans="1:12" x14ac:dyDescent="0.25">
      <c r="J14" s="9">
        <f>IF(A14="","",SUMIFS('Budget changes'!$D:$D,'Budget changes'!$C:$C,A14,'Budget changes'!$G:$G,"Approved")-SUMIFS('Budget changes'!$D:$D,'Budget changes'!$E:$E,A14,'Budget changes'!$G:$G,"Approved"))</f>
      </c>
      <c r="K14" s="9">
        <f>IF(A14="","",N(E14)+N(J14))</f>
      </c>
      <c r="L14" s="9">
        <f>IF(OR(A14="",I14=""),"",K14-I14)</f>
      </c>
    </row>
    <row r="15" spans="1:12" x14ac:dyDescent="0.25">
      <c r="J15" s="9">
        <f>IF(A15="","",SUMIFS('Budget changes'!$D:$D,'Budget changes'!$C:$C,A15,'Budget changes'!$G:$G,"Approved")-SUMIFS('Budget changes'!$D:$D,'Budget changes'!$E:$E,A15,'Budget changes'!$G:$G,"Approved"))</f>
      </c>
      <c r="K15" s="9">
        <f>IF(A15="","",N(E15)+N(J15))</f>
      </c>
      <c r="L15" s="9">
        <f>IF(OR(A15="",I15=""),"",K15-I15)</f>
      </c>
    </row>
    <row r="16" spans="1:12" x14ac:dyDescent="0.25">
      <c r="J16" s="9">
        <f>IF(A16="","",SUMIFS('Budget changes'!$D:$D,'Budget changes'!$C:$C,A16,'Budget changes'!$G:$G,"Approved")-SUMIFS('Budget changes'!$D:$D,'Budget changes'!$E:$E,A16,'Budget changes'!$G:$G,"Approved"))</f>
      </c>
      <c r="K16" s="9">
        <f>IF(A16="","",N(E16)+N(J16))</f>
      </c>
      <c r="L16" s="9">
        <f>IF(OR(A16="",I16=""),"",K16-I16)</f>
      </c>
    </row>
    <row r="17" spans="1:12" x14ac:dyDescent="0.25">
      <c r="J17" s="9">
        <f>IF(A17="","",SUMIFS('Budget changes'!$D:$D,'Budget changes'!$C:$C,A17,'Budget changes'!$G:$G,"Approved")-SUMIFS('Budget changes'!$D:$D,'Budget changes'!$E:$E,A17,'Budget changes'!$G:$G,"Approved"))</f>
      </c>
      <c r="K17" s="9">
        <f>IF(A17="","",N(E17)+N(J17))</f>
      </c>
      <c r="L17" s="9">
        <f>IF(OR(A17="",I17=""),"",K17-I17)</f>
      </c>
    </row>
    <row r="18" spans="1:12" x14ac:dyDescent="0.25">
      <c r="J18" s="9">
        <f>IF(A18="","",SUMIFS('Budget changes'!$D:$D,'Budget changes'!$C:$C,A18,'Budget changes'!$G:$G,"Approved")-SUMIFS('Budget changes'!$D:$D,'Budget changes'!$E:$E,A18,'Budget changes'!$G:$G,"Approved"))</f>
      </c>
      <c r="K18" s="9">
        <f>IF(A18="","",N(E18)+N(J18))</f>
      </c>
      <c r="L18" s="9">
        <f>IF(OR(A18="",I18=""),"",K18-I18)</f>
      </c>
    </row>
    <row r="19" spans="1:12" x14ac:dyDescent="0.25">
      <c r="J19" s="9">
        <f>IF(A19="","",SUMIFS('Budget changes'!$D:$D,'Budget changes'!$C:$C,A19,'Budget changes'!$G:$G,"Approved")-SUMIFS('Budget changes'!$D:$D,'Budget changes'!$E:$E,A19,'Budget changes'!$G:$G,"Approved"))</f>
      </c>
      <c r="K19" s="9">
        <f>IF(A19="","",N(E19)+N(J19))</f>
      </c>
      <c r="L19" s="9">
        <f>IF(OR(A19="",I19=""),"",K19-I19)</f>
      </c>
    </row>
    <row r="20" spans="1:12" x14ac:dyDescent="0.25">
      <c r="J20" s="9">
        <f>IF(A20="","",SUMIFS('Budget changes'!$D:$D,'Budget changes'!$C:$C,A20,'Budget changes'!$G:$G,"Approved")-SUMIFS('Budget changes'!$D:$D,'Budget changes'!$E:$E,A20,'Budget changes'!$G:$G,"Approved"))</f>
      </c>
      <c r="K20" s="9">
        <f>IF(A20="","",N(E20)+N(J20))</f>
      </c>
      <c r="L20" s="9">
        <f>IF(OR(A20="",I20=""),"",K20-I20)</f>
      </c>
    </row>
    <row r="21" spans="1:12" x14ac:dyDescent="0.25">
      <c r="J21" s="9">
        <f>IF(A21="","",SUMIFS('Budget changes'!$D:$D,'Budget changes'!$C:$C,A21,'Budget changes'!$G:$G,"Approved")-SUMIFS('Budget changes'!$D:$D,'Budget changes'!$E:$E,A21,'Budget changes'!$G:$G,"Approved"))</f>
      </c>
      <c r="K21" s="9">
        <f>IF(A21="","",N(E21)+N(J21))</f>
      </c>
      <c r="L21" s="9">
        <f>IF(OR(A21="",I21=""),"",K21-I21)</f>
      </c>
    </row>
    <row r="22" spans="1:12" x14ac:dyDescent="0.25">
      <c r="J22" s="9">
        <f>IF(A22="","",SUMIFS('Budget changes'!$D:$D,'Budget changes'!$C:$C,A22,'Budget changes'!$G:$G,"Approved")-SUMIFS('Budget changes'!$D:$D,'Budget changes'!$E:$E,A22,'Budget changes'!$G:$G,"Approved"))</f>
      </c>
      <c r="K22" s="9">
        <f>IF(A22="","",N(E22)+N(J22))</f>
      </c>
      <c r="L22" s="9">
        <f>IF(OR(A22="",I22=""),"",K22-I22)</f>
      </c>
    </row>
    <row r="23" spans="1:12" x14ac:dyDescent="0.25">
      <c r="J23" s="9">
        <f>IF(A23="","",SUMIFS('Budget changes'!$D:$D,'Budget changes'!$C:$C,A23,'Budget changes'!$G:$G,"Approved")-SUMIFS('Budget changes'!$D:$D,'Budget changes'!$E:$E,A23,'Budget changes'!$G:$G,"Approved"))</f>
      </c>
      <c r="K23" s="9">
        <f>IF(A23="","",N(E23)+N(J23))</f>
      </c>
      <c r="L23" s="9">
        <f>IF(OR(A23="",I23=""),"",K23-I23)</f>
      </c>
    </row>
    <row r="24" spans="1:12" x14ac:dyDescent="0.25">
      <c r="J24" s="9">
        <f>IF(A24="","",SUMIFS('Budget changes'!$D:$D,'Budget changes'!$C:$C,A24,'Budget changes'!$G:$G,"Approved")-SUMIFS('Budget changes'!$D:$D,'Budget changes'!$E:$E,A24,'Budget changes'!$G:$G,"Approved"))</f>
      </c>
      <c r="K24" s="9">
        <f>IF(A24="","",N(E24)+N(J24))</f>
      </c>
      <c r="L24" s="9">
        <f>IF(OR(A24="",I24=""),"",K24-I24)</f>
      </c>
    </row>
    <row r="25" spans="1:12" x14ac:dyDescent="0.25">
      <c r="J25" s="9">
        <f>IF(A25="","",SUMIFS('Budget changes'!$D:$D,'Budget changes'!$C:$C,A25,'Budget changes'!$G:$G,"Approved")-SUMIFS('Budget changes'!$D:$D,'Budget changes'!$E:$E,A25,'Budget changes'!$G:$G,"Approved"))</f>
      </c>
      <c r="K25" s="9">
        <f>IF(A25="","",N(E25)+N(J25))</f>
      </c>
      <c r="L25" s="9">
        <f>IF(OR(A25="",I25=""),"",K25-I25)</f>
      </c>
    </row>
    <row r="26" spans="1:12" x14ac:dyDescent="0.25">
      <c r="J26" s="9">
        <f>IF(A26="","",SUMIFS('Budget changes'!$D:$D,'Budget changes'!$C:$C,A26,'Budget changes'!$G:$G,"Approved")-SUMIFS('Budget changes'!$D:$D,'Budget changes'!$E:$E,A26,'Budget changes'!$G:$G,"Approved"))</f>
      </c>
      <c r="K26" s="9">
        <f>IF(A26="","",N(E26)+N(J26))</f>
      </c>
      <c r="L26" s="9">
        <f>IF(OR(A26="",I26=""),"",K26-I26)</f>
      </c>
    </row>
    <row r="27" spans="1:12" x14ac:dyDescent="0.25">
      <c r="J27" s="9">
        <f>IF(A27="","",SUMIFS('Budget changes'!$D:$D,'Budget changes'!$C:$C,A27,'Budget changes'!$G:$G,"Approved")-SUMIFS('Budget changes'!$D:$D,'Budget changes'!$E:$E,A27,'Budget changes'!$G:$G,"Approved"))</f>
      </c>
      <c r="K27" s="9">
        <f>IF(A27="","",N(E27)+N(J27))</f>
      </c>
      <c r="L27" s="9">
        <f>IF(OR(A27="",I27=""),"",K27-I27)</f>
      </c>
    </row>
    <row r="28" spans="1:12" x14ac:dyDescent="0.25">
      <c r="J28" s="9">
        <f>IF(A28="","",SUMIFS('Budget changes'!$D:$D,'Budget changes'!$C:$C,A28,'Budget changes'!$G:$G,"Approved")-SUMIFS('Budget changes'!$D:$D,'Budget changes'!$E:$E,A28,'Budget changes'!$G:$G,"Approved"))</f>
      </c>
      <c r="K28" s="9">
        <f>IF(A28="","",N(E28)+N(J28))</f>
      </c>
      <c r="L28" s="9">
        <f>IF(OR(A28="",I28=""),"",K28-I28)</f>
      </c>
    </row>
    <row r="29" spans="1:12" x14ac:dyDescent="0.25">
      <c r="J29" s="9">
        <f>IF(A29="","",SUMIFS('Budget changes'!$D:$D,'Budget changes'!$C:$C,A29,'Budget changes'!$G:$G,"Approved")-SUMIFS('Budget changes'!$D:$D,'Budget changes'!$E:$E,A29,'Budget changes'!$G:$G,"Approved"))</f>
      </c>
      <c r="K29" s="9">
        <f>IF(A29="","",N(E29)+N(J29))</f>
      </c>
      <c r="L29" s="9">
        <f>IF(OR(A29="",I29=""),"",K29-I29)</f>
      </c>
    </row>
    <row r="30" spans="1:12" x14ac:dyDescent="0.25">
      <c r="J30" s="9">
        <f>IF(A30="","",SUMIFS('Budget changes'!$D:$D,'Budget changes'!$C:$C,A30,'Budget changes'!$G:$G,"Approved")-SUMIFS('Budget changes'!$D:$D,'Budget changes'!$E:$E,A30,'Budget changes'!$G:$G,"Approved"))</f>
      </c>
      <c r="K30" s="9">
        <f>IF(A30="","",N(E30)+N(J30))</f>
      </c>
      <c r="L30" s="9">
        <f>IF(OR(A30="",I30=""),"",K30-I30)</f>
      </c>
    </row>
    <row r="31" spans="1:12" x14ac:dyDescent="0.25">
      <c r="J31" s="9">
        <f>IF(A31="","",SUMIFS('Budget changes'!$D:$D,'Budget changes'!$C:$C,A31,'Budget changes'!$G:$G,"Approved")-SUMIFS('Budget changes'!$D:$D,'Budget changes'!$E:$E,A31,'Budget changes'!$G:$G,"Approved"))</f>
      </c>
      <c r="K31" s="9">
        <f>IF(A31="","",N(E31)+N(J31))</f>
      </c>
      <c r="L31" s="9">
        <f>IF(OR(A31="",I31=""),"",K31-I31)</f>
      </c>
    </row>
    <row r="32" spans="1:12" x14ac:dyDescent="0.25">
      <c r="J32" s="9">
        <f>IF(A32="","",SUMIFS('Budget changes'!$D:$D,'Budget changes'!$C:$C,A32,'Budget changes'!$G:$G,"Approved")-SUMIFS('Budget changes'!$D:$D,'Budget changes'!$E:$E,A32,'Budget changes'!$G:$G,"Approved"))</f>
      </c>
      <c r="K32" s="9">
        <f>IF(A32="","",N(E32)+N(J32))</f>
      </c>
      <c r="L32" s="9">
        <f>IF(OR(A32="",I32=""),"",K32-I32)</f>
      </c>
    </row>
    <row r="33" spans="1:12" x14ac:dyDescent="0.25">
      <c r="J33" s="9">
        <f>IF(A33="","",SUMIFS('Budget changes'!$D:$D,'Budget changes'!$C:$C,A33,'Budget changes'!$G:$G,"Approved")-SUMIFS('Budget changes'!$D:$D,'Budget changes'!$E:$E,A33,'Budget changes'!$G:$G,"Approved"))</f>
      </c>
      <c r="K33" s="9">
        <f>IF(A33="","",N(E33)+N(J33))</f>
      </c>
      <c r="L33" s="9">
        <f>IF(OR(A33="",I33=""),"",K33-I33)</f>
      </c>
    </row>
    <row r="34" spans="1:12" x14ac:dyDescent="0.25">
      <c r="J34" s="9">
        <f>IF(A34="","",SUMIFS('Budget changes'!$D:$D,'Budget changes'!$C:$C,A34,'Budget changes'!$G:$G,"Approved")-SUMIFS('Budget changes'!$D:$D,'Budget changes'!$E:$E,A34,'Budget changes'!$G:$G,"Approved"))</f>
      </c>
      <c r="K34" s="9">
        <f>IF(A34="","",N(E34)+N(J34))</f>
      </c>
      <c r="L34" s="9">
        <f>IF(OR(A34="",I34=""),"",K34-I34)</f>
      </c>
    </row>
    <row r="35" spans="1:12" x14ac:dyDescent="0.25">
      <c r="J35" s="9">
        <f>IF(A35="","",SUMIFS('Budget changes'!$D:$D,'Budget changes'!$C:$C,A35,'Budget changes'!$G:$G,"Approved")-SUMIFS('Budget changes'!$D:$D,'Budget changes'!$E:$E,A35,'Budget changes'!$G:$G,"Approved"))</f>
      </c>
      <c r="K35" s="9">
        <f>IF(A35="","",N(E35)+N(J35))</f>
      </c>
      <c r="L35" s="9">
        <f>IF(OR(A35="",I35=""),"",K35-I35)</f>
      </c>
    </row>
    <row r="36" spans="1:12" x14ac:dyDescent="0.25">
      <c r="J36" s="9">
        <f>IF(A36="","",SUMIFS('Budget changes'!$D:$D,'Budget changes'!$C:$C,A36,'Budget changes'!$G:$G,"Approved")-SUMIFS('Budget changes'!$D:$D,'Budget changes'!$E:$E,A36,'Budget changes'!$G:$G,"Approved"))</f>
      </c>
      <c r="K36" s="9">
        <f>IF(A36="","",N(E36)+N(J36))</f>
      </c>
      <c r="L36" s="9">
        <f>IF(OR(A36="",I36=""),"",K36-I36)</f>
      </c>
    </row>
    <row r="37" spans="1:12" x14ac:dyDescent="0.25">
      <c r="J37" s="9">
        <f>IF(A37="","",SUMIFS('Budget changes'!$D:$D,'Budget changes'!$C:$C,A37,'Budget changes'!$G:$G,"Approved")-SUMIFS('Budget changes'!$D:$D,'Budget changes'!$E:$E,A37,'Budget changes'!$G:$G,"Approved"))</f>
      </c>
      <c r="K37" s="9">
        <f>IF(A37="","",N(E37)+N(J37))</f>
      </c>
      <c r="L37" s="9">
        <f>IF(OR(A37="",I37=""),"",K37-I37)</f>
      </c>
    </row>
    <row r="38" spans="1:12" x14ac:dyDescent="0.25">
      <c r="J38" s="9">
        <f>IF(A38="","",SUMIFS('Budget changes'!$D:$D,'Budget changes'!$C:$C,A38,'Budget changes'!$G:$G,"Approved")-SUMIFS('Budget changes'!$D:$D,'Budget changes'!$E:$E,A38,'Budget changes'!$G:$G,"Approved"))</f>
      </c>
      <c r="K38" s="9">
        <f>IF(A38="","",N(E38)+N(J38))</f>
      </c>
      <c r="L38" s="9">
        <f>IF(OR(A38="",I38=""),"",K38-I38)</f>
      </c>
    </row>
    <row r="39" spans="1:12" x14ac:dyDescent="0.25">
      <c r="J39" s="9">
        <f>IF(A39="","",SUMIFS('Budget changes'!$D:$D,'Budget changes'!$C:$C,A39,'Budget changes'!$G:$G,"Approved")-SUMIFS('Budget changes'!$D:$D,'Budget changes'!$E:$E,A39,'Budget changes'!$G:$G,"Approved"))</f>
      </c>
      <c r="K39" s="9">
        <f>IF(A39="","",N(E39)+N(J39))</f>
      </c>
      <c r="L39" s="9">
        <f>IF(OR(A39="",I39=""),"",K39-I39)</f>
      </c>
    </row>
    <row r="40" spans="1:12" x14ac:dyDescent="0.25">
      <c r="J40" s="9">
        <f>IF(A40="","",SUMIFS('Budget changes'!$D:$D,'Budget changes'!$C:$C,A40,'Budget changes'!$G:$G,"Approved")-SUMIFS('Budget changes'!$D:$D,'Budget changes'!$E:$E,A40,'Budget changes'!$G:$G,"Approved"))</f>
      </c>
      <c r="K40" s="9">
        <f>IF(A40="","",N(E40)+N(J40))</f>
      </c>
      <c r="L40" s="9">
        <f>IF(OR(A40="",I40=""),"",K40-I40)</f>
      </c>
    </row>
    <row r="41" spans="1:12" x14ac:dyDescent="0.25">
      <c r="J41" s="9">
        <f>IF(A41="","",SUMIFS('Budget changes'!$D:$D,'Budget changes'!$C:$C,A41,'Budget changes'!$G:$G,"Approved")-SUMIFS('Budget changes'!$D:$D,'Budget changes'!$E:$E,A41,'Budget changes'!$G:$G,"Approved"))</f>
      </c>
      <c r="K41" s="9">
        <f>IF(A41="","",N(E41)+N(J41))</f>
      </c>
      <c r="L41" s="9">
        <f>IF(OR(A41="",I41=""),"",K41-I41)</f>
      </c>
    </row>
    <row r="42" spans="1:12" x14ac:dyDescent="0.25">
      <c r="J42" s="9">
        <f>IF(A42="","",SUMIFS('Budget changes'!$D:$D,'Budget changes'!$C:$C,A42,'Budget changes'!$G:$G,"Approved")-SUMIFS('Budget changes'!$D:$D,'Budget changes'!$E:$E,A42,'Budget changes'!$G:$G,"Approved"))</f>
      </c>
      <c r="K42" s="9">
        <f>IF(A42="","",N(E42)+N(J42))</f>
      </c>
      <c r="L42" s="9">
        <f>IF(OR(A42="",I42=""),"",K42-I42)</f>
      </c>
    </row>
    <row r="43" spans="1:12" x14ac:dyDescent="0.25">
      <c r="J43" s="9">
        <f>IF(A43="","",SUMIFS('Budget changes'!$D:$D,'Budget changes'!$C:$C,A43,'Budget changes'!$G:$G,"Approved")-SUMIFS('Budget changes'!$D:$D,'Budget changes'!$E:$E,A43,'Budget changes'!$G:$G,"Approved"))</f>
      </c>
      <c r="K43" s="9">
        <f>IF(A43="","",N(E43)+N(J43))</f>
      </c>
      <c r="L43" s="9">
        <f>IF(OR(A43="",I43=""),"",K43-I43)</f>
      </c>
    </row>
    <row r="44" spans="1:12" x14ac:dyDescent="0.25">
      <c r="J44" s="9">
        <f>IF(A44="","",SUMIFS('Budget changes'!$D:$D,'Budget changes'!$C:$C,A44,'Budget changes'!$G:$G,"Approved")-SUMIFS('Budget changes'!$D:$D,'Budget changes'!$E:$E,A44,'Budget changes'!$G:$G,"Approved"))</f>
      </c>
      <c r="K44" s="9">
        <f>IF(A44="","",N(E44)+N(J44))</f>
      </c>
      <c r="L44" s="9">
        <f>IF(OR(A44="",I44=""),"",K44-I44)</f>
      </c>
    </row>
    <row r="45" spans="1:12" x14ac:dyDescent="0.25">
      <c r="J45" s="9">
        <f>IF(A45="","",SUMIFS('Budget changes'!$D:$D,'Budget changes'!$C:$C,A45,'Budget changes'!$G:$G,"Approved")-SUMIFS('Budget changes'!$D:$D,'Budget changes'!$E:$E,A45,'Budget changes'!$G:$G,"Approved"))</f>
      </c>
      <c r="K45" s="9">
        <f>IF(A45="","",N(E45)+N(J45))</f>
      </c>
      <c r="L45" s="9">
        <f>IF(OR(A45="",I45=""),"",K45-I45)</f>
      </c>
    </row>
    <row r="46" spans="1:12" x14ac:dyDescent="0.25">
      <c r="J46" s="9">
        <f>IF(A46="","",SUMIFS('Budget changes'!$D:$D,'Budget changes'!$C:$C,A46,'Budget changes'!$G:$G,"Approved")-SUMIFS('Budget changes'!$D:$D,'Budget changes'!$E:$E,A46,'Budget changes'!$G:$G,"Approved"))</f>
      </c>
      <c r="K46" s="9">
        <f>IF(A46="","",N(E46)+N(J46))</f>
      </c>
      <c r="L46" s="9">
        <f>IF(OR(A46="",I46=""),"",K46-I46)</f>
      </c>
    </row>
    <row r="47" spans="1:12" x14ac:dyDescent="0.25">
      <c r="J47" s="9">
        <f>IF(A47="","",SUMIFS('Budget changes'!$D:$D,'Budget changes'!$C:$C,A47,'Budget changes'!$G:$G,"Approved")-SUMIFS('Budget changes'!$D:$D,'Budget changes'!$E:$E,A47,'Budget changes'!$G:$G,"Approved"))</f>
      </c>
      <c r="K47" s="9">
        <f>IF(A47="","",N(E47)+N(J47))</f>
      </c>
      <c r="L47" s="9">
        <f>IF(OR(A47="",I47=""),"",K47-I47)</f>
      </c>
    </row>
    <row r="48" spans="1:12" x14ac:dyDescent="0.25">
      <c r="J48" s="9">
        <f>IF(A48="","",SUMIFS('Budget changes'!$D:$D,'Budget changes'!$C:$C,A48,'Budget changes'!$G:$G,"Approved")-SUMIFS('Budget changes'!$D:$D,'Budget changes'!$E:$E,A48,'Budget changes'!$G:$G,"Approved"))</f>
      </c>
      <c r="K48" s="9">
        <f>IF(A48="","",N(E48)+N(J48))</f>
      </c>
      <c r="L48" s="9">
        <f>IF(OR(A48="",I48=""),"",K48-I48)</f>
      </c>
    </row>
    <row r="49" spans="1:12" x14ac:dyDescent="0.25">
      <c r="J49" s="9">
        <f>IF(A49="","",SUMIFS('Budget changes'!$D:$D,'Budget changes'!$C:$C,A49,'Budget changes'!$G:$G,"Approved")-SUMIFS('Budget changes'!$D:$D,'Budget changes'!$E:$E,A49,'Budget changes'!$G:$G,"Approved"))</f>
      </c>
      <c r="K49" s="9">
        <f>IF(A49="","",N(E49)+N(J49))</f>
      </c>
      <c r="L49" s="9">
        <f>IF(OR(A49="",I49=""),"",K49-I49)</f>
      </c>
    </row>
    <row r="51" spans="1:1" s="2" customFormat="1" x14ac:dyDescent="0.25">
      <c r="A51" s="2" t="s">
        <v>32</v>
      </c>
    </row>
  </sheetData>
  <dataValidations count="2">
    <dataValidation type="list" allowBlank="1" sqref="D10:D49">
      <formula1>"Preliminaries,Labour,Materials,Plant,Subcontract,Consultants,Contingency,Other"</formula1>
    </dataValidation>
    <dataValidation type="list" allowBlank="1" sqref="D5:D49">
      <formula1>"Preliminaries,Labour,Materials,Plant,Subcontract,Consultants,Contingency,Other"</formula1>
    </dataValidation>
  </dataValidation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pane xSplit="1" ySplit="4" topLeftCell="B5" activePane="bottomRight" state="frozen"/>
      <selection pane="bottomRight"/>
    </sheetView>
  </sheetViews>
  <sheetFormatPr defaultRowHeight="15" outlineLevelRow="0" outlineLevelCol="0" x14ac:dyDescent="55"/>
  <cols>
    <col min="1" max="3" width="11" customWidth="1"/>
    <col min="4" max="4" width="12" customWidth="1"/>
    <col min="5" max="5" width="24" customWidth="1"/>
    <col min="6" max="7" width="11" customWidth="1"/>
    <col min="8" max="8" width="14" customWidth="1"/>
    <col min="9" max="10" width="13" customWidth="1"/>
    <col min="11" max="11" width="19" customWidth="1"/>
  </cols>
  <sheetData>
    <row r="1" spans="1:1" s="1" customFormat="1" x14ac:dyDescent="0.25">
      <c r="A1" s="1" t="s">
        <v>331</v>
      </c>
    </row>
    <row r="2" spans="1:1" s="2" customFormat="1" x14ac:dyDescent="0.25">
      <c r="A2" s="2" t="s">
        <v>332</v>
      </c>
    </row>
    <row r="4" spans="1:11" s="3" customFormat="1" x14ac:dyDescent="0.25">
      <c r="A4" s="7" t="s">
        <v>333</v>
      </c>
      <c r="B4" s="7" t="s">
        <v>63</v>
      </c>
      <c r="C4" s="7" t="s">
        <v>303</v>
      </c>
      <c r="D4" s="7" t="s">
        <v>334</v>
      </c>
      <c r="E4" s="7" t="s">
        <v>335</v>
      </c>
      <c r="F4" s="7" t="s">
        <v>336</v>
      </c>
      <c r="G4" s="7" t="s">
        <v>127</v>
      </c>
      <c r="H4" s="7" t="s">
        <v>206</v>
      </c>
      <c r="I4" s="7" t="s">
        <v>337</v>
      </c>
      <c r="J4" s="7" t="s">
        <v>338</v>
      </c>
      <c r="K4" s="7" t="s">
        <v>339</v>
      </c>
    </row>
    <row r="5" spans="1:11" x14ac:dyDescent="0.25">
      <c r="A5" t="s">
        <v>340</v>
      </c>
      <c r="B5" s="8">
        <v>46260</v>
      </c>
      <c r="C5" t="s">
        <v>318</v>
      </c>
      <c r="D5">
        <v>2000</v>
      </c>
      <c r="E5" t="s">
        <v>327</v>
      </c>
      <c r="F5" t="s">
        <v>341</v>
      </c>
      <c r="G5" t="s">
        <v>179</v>
      </c>
      <c r="I5" t="s">
        <v>330</v>
      </c>
      <c r="J5" s="8">
        <v>46260</v>
      </c>
      <c r="K5" s="10">
        <f>IF(A5="","",IF(COUNTIF('Budget'!$A:$A,C5)&gt;0,"Yes","Not in Budget"))</f>
      </c>
    </row>
    <row r="6" spans="1:11" x14ac:dyDescent="0.25">
      <c r="A6" t="s">
        <v>342</v>
      </c>
      <c r="B6" s="8">
        <v>46315</v>
      </c>
      <c r="C6" t="s">
        <v>324</v>
      </c>
      <c r="D6">
        <v>1500</v>
      </c>
      <c r="E6" t="s">
        <v>327</v>
      </c>
      <c r="F6" t="s">
        <v>343</v>
      </c>
      <c r="G6" t="s">
        <v>344</v>
      </c>
      <c r="H6" t="s">
        <v>192</v>
      </c>
      <c r="K6" s="10">
        <f>IF(A6="","",IF(COUNTIF('Budget'!$A:$A,C6)&gt;0,"Yes","Not in Budget"))</f>
      </c>
    </row>
    <row r="7" spans="1:11" x14ac:dyDescent="0.25">
      <c r="K7" s="10">
        <f>IF(A7="","",IF(COUNTIF('Budget'!$A:$A,C7)&gt;0,"Yes","Not in Budget"))</f>
      </c>
    </row>
    <row r="8" spans="1:11" x14ac:dyDescent="0.25">
      <c r="K8" s="10">
        <f>IF(A8="","",IF(COUNTIF('Budget'!$A:$A,C8)&gt;0,"Yes","Not in Budget"))</f>
      </c>
    </row>
    <row r="9" spans="1:11" x14ac:dyDescent="0.25">
      <c r="K9" s="10">
        <f>IF(A9="","",IF(COUNTIF('Budget'!$A:$A,C9)&gt;0,"Yes","Not in Budget"))</f>
      </c>
    </row>
    <row r="10" spans="1:11" x14ac:dyDescent="0.25">
      <c r="K10" s="10">
        <f>IF(A10="","",IF(COUNTIF('Budget'!$A:$A,C10)&gt;0,"Yes","Not in Budget"))</f>
      </c>
    </row>
    <row r="11" spans="1:11" x14ac:dyDescent="0.25">
      <c r="K11" s="10">
        <f>IF(A11="","",IF(COUNTIF('Budget'!$A:$A,C11)&gt;0,"Yes","Not in Budget"))</f>
      </c>
    </row>
    <row r="12" spans="1:11" x14ac:dyDescent="0.25">
      <c r="K12" s="10">
        <f>IF(A12="","",IF(COUNTIF('Budget'!$A:$A,C12)&gt;0,"Yes","Not in Budget"))</f>
      </c>
    </row>
    <row r="13" spans="1:11" x14ac:dyDescent="0.25">
      <c r="K13" s="10">
        <f>IF(A13="","",IF(COUNTIF('Budget'!$A:$A,C13)&gt;0,"Yes","Not in Budget"))</f>
      </c>
    </row>
    <row r="14" spans="1:11" x14ac:dyDescent="0.25">
      <c r="K14" s="10">
        <f>IF(A14="","",IF(COUNTIF('Budget'!$A:$A,C14)&gt;0,"Yes","Not in Budget"))</f>
      </c>
    </row>
    <row r="15" spans="1:11" x14ac:dyDescent="0.25">
      <c r="K15" s="10">
        <f>IF(A15="","",IF(COUNTIF('Budget'!$A:$A,C15)&gt;0,"Yes","Not in Budget"))</f>
      </c>
    </row>
    <row r="16" spans="1:11" x14ac:dyDescent="0.25">
      <c r="K16" s="10">
        <f>IF(A16="","",IF(COUNTIF('Budget'!$A:$A,C16)&gt;0,"Yes","Not in Budget"))</f>
      </c>
    </row>
    <row r="17" spans="1:11" x14ac:dyDescent="0.25">
      <c r="K17" s="10">
        <f>IF(A17="","",IF(COUNTIF('Budget'!$A:$A,C17)&gt;0,"Yes","Not in Budget"))</f>
      </c>
    </row>
    <row r="18" spans="1:11" x14ac:dyDescent="0.25">
      <c r="K18" s="10">
        <f>IF(A18="","",IF(COUNTIF('Budget'!$A:$A,C18)&gt;0,"Yes","Not in Budget"))</f>
      </c>
    </row>
    <row r="19" spans="1:11" x14ac:dyDescent="0.25">
      <c r="K19" s="10">
        <f>IF(A19="","",IF(COUNTIF('Budget'!$A:$A,C19)&gt;0,"Yes","Not in Budget"))</f>
      </c>
    </row>
    <row r="20" spans="1:11" x14ac:dyDescent="0.25">
      <c r="K20" s="10">
        <f>IF(A20="","",IF(COUNTIF('Budget'!$A:$A,C20)&gt;0,"Yes","Not in Budget"))</f>
      </c>
    </row>
    <row r="21" spans="1:11" x14ac:dyDescent="0.25">
      <c r="K21" s="10">
        <f>IF(A21="","",IF(COUNTIF('Budget'!$A:$A,C21)&gt;0,"Yes","Not in Budget"))</f>
      </c>
    </row>
    <row r="22" spans="1:11" x14ac:dyDescent="0.25">
      <c r="K22" s="10">
        <f>IF(A22="","",IF(COUNTIF('Budget'!$A:$A,C22)&gt;0,"Yes","Not in Budget"))</f>
      </c>
    </row>
    <row r="23" spans="1:11" x14ac:dyDescent="0.25">
      <c r="K23" s="10">
        <f>IF(A23="","",IF(COUNTIF('Budget'!$A:$A,C23)&gt;0,"Yes","Not in Budget"))</f>
      </c>
    </row>
    <row r="24" spans="1:11" x14ac:dyDescent="0.25">
      <c r="K24" s="10">
        <f>IF(A24="","",IF(COUNTIF('Budget'!$A:$A,C24)&gt;0,"Yes","Not in Budget"))</f>
      </c>
    </row>
    <row r="25" spans="1:11" x14ac:dyDescent="0.25">
      <c r="K25" s="10">
        <f>IF(A25="","",IF(COUNTIF('Budget'!$A:$A,C25)&gt;0,"Yes","Not in Budget"))</f>
      </c>
    </row>
    <row r="26" spans="1:11" x14ac:dyDescent="0.25">
      <c r="K26" s="10">
        <f>IF(A26="","",IF(COUNTIF('Budget'!$A:$A,C26)&gt;0,"Yes","Not in Budget"))</f>
      </c>
    </row>
    <row r="27" spans="1:11" x14ac:dyDescent="0.25">
      <c r="K27" s="10">
        <f>IF(A27="","",IF(COUNTIF('Budget'!$A:$A,C27)&gt;0,"Yes","Not in Budget"))</f>
      </c>
    </row>
    <row r="28" spans="1:11" x14ac:dyDescent="0.25">
      <c r="K28" s="10">
        <f>IF(A28="","",IF(COUNTIF('Budget'!$A:$A,C28)&gt;0,"Yes","Not in Budget"))</f>
      </c>
    </row>
    <row r="29" spans="1:11" x14ac:dyDescent="0.25">
      <c r="K29" s="10">
        <f>IF(A29="","",IF(COUNTIF('Budget'!$A:$A,C29)&gt;0,"Yes","Not in Budget"))</f>
      </c>
    </row>
    <row r="30" spans="1:11" x14ac:dyDescent="0.25">
      <c r="K30" s="10">
        <f>IF(A30="","",IF(COUNTIF('Budget'!$A:$A,C30)&gt;0,"Yes","Not in Budget"))</f>
      </c>
    </row>
    <row r="31" spans="1:11" x14ac:dyDescent="0.25">
      <c r="K31" s="10">
        <f>IF(A31="","",IF(COUNTIF('Budget'!$A:$A,C31)&gt;0,"Yes","Not in Budget"))</f>
      </c>
    </row>
    <row r="32" spans="1:11" x14ac:dyDescent="0.25">
      <c r="K32" s="10">
        <f>IF(A32="","",IF(COUNTIF('Budget'!$A:$A,C32)&gt;0,"Yes","Not in Budget"))</f>
      </c>
    </row>
    <row r="33" spans="1:11" x14ac:dyDescent="0.25">
      <c r="K33" s="10">
        <f>IF(A33="","",IF(COUNTIF('Budget'!$A:$A,C33)&gt;0,"Yes","Not in Budget"))</f>
      </c>
    </row>
    <row r="34" spans="1:11" x14ac:dyDescent="0.25">
      <c r="K34" s="10">
        <f>IF(A34="","",IF(COUNTIF('Budget'!$A:$A,C34)&gt;0,"Yes","Not in Budget"))</f>
      </c>
    </row>
    <row r="35" spans="1:11" x14ac:dyDescent="0.25">
      <c r="K35" s="10">
        <f>IF(A35="","",IF(COUNTIF('Budget'!$A:$A,C35)&gt;0,"Yes","Not in Budget"))</f>
      </c>
    </row>
    <row r="36" spans="1:11" x14ac:dyDescent="0.25">
      <c r="K36" s="10">
        <f>IF(A36="","",IF(COUNTIF('Budget'!$A:$A,C36)&gt;0,"Yes","Not in Budget"))</f>
      </c>
    </row>
    <row r="37" spans="1:11" x14ac:dyDescent="0.25">
      <c r="K37" s="10">
        <f>IF(A37="","",IF(COUNTIF('Budget'!$A:$A,C37)&gt;0,"Yes","Not in Budget"))</f>
      </c>
    </row>
    <row r="38" spans="1:11" x14ac:dyDescent="0.25">
      <c r="K38" s="10">
        <f>IF(A38="","",IF(COUNTIF('Budget'!$A:$A,C38)&gt;0,"Yes","Not in Budget"))</f>
      </c>
    </row>
    <row r="39" spans="1:11" x14ac:dyDescent="0.25">
      <c r="K39" s="10">
        <f>IF(A39="","",IF(COUNTIF('Budget'!$A:$A,C39)&gt;0,"Yes","Not in Budget"))</f>
      </c>
    </row>
    <row r="40" spans="1:11" x14ac:dyDescent="0.25">
      <c r="K40" s="10">
        <f>IF(A40="","",IF(COUNTIF('Budget'!$A:$A,C40)&gt;0,"Yes","Not in Budget"))</f>
      </c>
    </row>
    <row r="41" spans="1:11" x14ac:dyDescent="0.25">
      <c r="K41" s="10">
        <f>IF(A41="","",IF(COUNTIF('Budget'!$A:$A,C41)&gt;0,"Yes","Not in Budget"))</f>
      </c>
    </row>
    <row r="42" spans="1:11" x14ac:dyDescent="0.25">
      <c r="K42" s="10">
        <f>IF(A42="","",IF(COUNTIF('Budget'!$A:$A,C42)&gt;0,"Yes","Not in Budget"))</f>
      </c>
    </row>
    <row r="43" spans="1:11" x14ac:dyDescent="0.25">
      <c r="K43" s="10">
        <f>IF(A43="","",IF(COUNTIF('Budget'!$A:$A,C43)&gt;0,"Yes","Not in Budget"))</f>
      </c>
    </row>
    <row r="44" spans="1:11" x14ac:dyDescent="0.25">
      <c r="K44" s="10">
        <f>IF(A44="","",IF(COUNTIF('Budget'!$A:$A,C44)&gt;0,"Yes","Not in Budget"))</f>
      </c>
    </row>
    <row r="45" spans="1:11" x14ac:dyDescent="0.25">
      <c r="K45" s="10">
        <f>IF(A45="","",IF(COUNTIF('Budget'!$A:$A,C45)&gt;0,"Yes","Not in Budget"))</f>
      </c>
    </row>
    <row r="46" spans="1:11" x14ac:dyDescent="0.25">
      <c r="K46" s="10">
        <f>IF(A46="","",IF(COUNTIF('Budget'!$A:$A,C46)&gt;0,"Yes","Not in Budget"))</f>
      </c>
    </row>
    <row r="48" spans="1:1" s="2" customFormat="1" x14ac:dyDescent="0.25">
      <c r="A48" s="2" t="s">
        <v>32</v>
      </c>
    </row>
  </sheetData>
  <dataValidations count="2">
    <dataValidation type="list" allowBlank="1" sqref="G10:G46">
      <formula1>"Proposed,Approved,Rejected"</formula1>
    </dataValidation>
    <dataValidation type="list" allowBlank="1" sqref="G5:G46">
      <formula1>"Proposed,Approved,Rejected"</formula1>
    </dataValidation>
  </dataValidations>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pane xSplit="1" ySplit="4" topLeftCell="B5" activePane="bottomRight" state="frozen"/>
      <selection pane="bottomRight"/>
    </sheetView>
  </sheetViews>
  <sheetFormatPr defaultRowHeight="15" outlineLevelRow="0" outlineLevelCol="0" x14ac:dyDescent="55"/>
  <cols>
    <col min="1" max="1" width="13" customWidth="1"/>
    <col min="2" max="3" width="11" customWidth="1"/>
    <col min="4" max="4" width="17" customWidth="1"/>
    <col min="5" max="7" width="11" customWidth="1"/>
    <col min="8" max="8" width="19" customWidth="1"/>
  </cols>
  <sheetData>
    <row r="1" spans="1:1" s="1" customFormat="1" x14ac:dyDescent="0.25">
      <c r="A1" s="1" t="s">
        <v>345</v>
      </c>
    </row>
    <row r="2" spans="1:1" s="2" customFormat="1" x14ac:dyDescent="0.25">
      <c r="A2" s="2" t="s">
        <v>346</v>
      </c>
    </row>
    <row r="4" spans="1:8" s="3" customFormat="1" x14ac:dyDescent="0.25">
      <c r="A4" s="7" t="s">
        <v>347</v>
      </c>
      <c r="B4" s="7" t="s">
        <v>348</v>
      </c>
      <c r="C4" s="7" t="s">
        <v>349</v>
      </c>
      <c r="D4" s="7" t="s">
        <v>350</v>
      </c>
      <c r="E4" s="7" t="s">
        <v>303</v>
      </c>
      <c r="F4" s="7" t="s">
        <v>121</v>
      </c>
      <c r="G4" s="7" t="s">
        <v>351</v>
      </c>
      <c r="H4" s="7" t="s">
        <v>352</v>
      </c>
    </row>
    <row r="5" spans="1:8" x14ac:dyDescent="0.25">
      <c r="A5" t="s">
        <v>353</v>
      </c>
      <c r="B5" t="s">
        <v>354</v>
      </c>
      <c r="C5" t="s">
        <v>355</v>
      </c>
      <c r="D5">
        <v>84000</v>
      </c>
      <c r="G5" t="s">
        <v>356</v>
      </c>
      <c r="H5" s="9">
        <f>IF(A5="","",IF(LEFT(C5,2)="In",N(D5),-N(D5)))</f>
      </c>
    </row>
    <row r="6" spans="1:8" x14ac:dyDescent="0.25">
      <c r="A6" t="s">
        <v>357</v>
      </c>
      <c r="B6" t="s">
        <v>354</v>
      </c>
      <c r="C6" t="s">
        <v>358</v>
      </c>
      <c r="D6">
        <v>22000</v>
      </c>
      <c r="E6" t="s">
        <v>318</v>
      </c>
      <c r="F6" t="s">
        <v>138</v>
      </c>
      <c r="G6" t="s">
        <v>359</v>
      </c>
      <c r="H6" s="9">
        <f>IF(A6="","",IF(LEFT(C6,2)="In",N(D6),-N(D6)))</f>
      </c>
    </row>
    <row r="7" spans="1:8" x14ac:dyDescent="0.25">
      <c r="A7" t="s">
        <v>360</v>
      </c>
      <c r="B7" t="s">
        <v>361</v>
      </c>
      <c r="C7" t="s">
        <v>355</v>
      </c>
      <c r="D7">
        <v>95000</v>
      </c>
      <c r="G7" t="s">
        <v>362</v>
      </c>
      <c r="H7" s="9">
        <f>IF(A7="","",IF(LEFT(C7,2)="In",N(D7),-N(D7)))</f>
      </c>
    </row>
    <row r="8" spans="1:8" x14ac:dyDescent="0.25">
      <c r="A8" t="s">
        <v>363</v>
      </c>
      <c r="B8" t="s">
        <v>361</v>
      </c>
      <c r="C8" t="s">
        <v>358</v>
      </c>
      <c r="D8">
        <v>41000</v>
      </c>
      <c r="E8" t="s">
        <v>324</v>
      </c>
      <c r="F8" t="s">
        <v>135</v>
      </c>
      <c r="G8" t="s">
        <v>364</v>
      </c>
      <c r="H8" s="9">
        <f>IF(A8="","",IF(LEFT(C8,2)="In",N(D8),-N(D8)))</f>
      </c>
    </row>
    <row r="9" spans="1:8" x14ac:dyDescent="0.25">
      <c r="A9" t="s">
        <v>365</v>
      </c>
      <c r="B9" t="s">
        <v>366</v>
      </c>
      <c r="C9" t="s">
        <v>355</v>
      </c>
      <c r="D9">
        <v>90000</v>
      </c>
      <c r="G9" t="s">
        <v>367</v>
      </c>
      <c r="H9" s="9">
        <f>IF(A9="","",IF(LEFT(C9,2)="In",N(D9),-N(D9)))</f>
      </c>
    </row>
    <row r="10" spans="1:8" x14ac:dyDescent="0.25">
      <c r="A10" t="s">
        <v>368</v>
      </c>
      <c r="B10" t="s">
        <v>366</v>
      </c>
      <c r="C10" t="s">
        <v>358</v>
      </c>
      <c r="D10">
        <v>64000</v>
      </c>
      <c r="E10" t="s">
        <v>318</v>
      </c>
      <c r="F10" t="s">
        <v>138</v>
      </c>
      <c r="G10" t="s">
        <v>369</v>
      </c>
      <c r="H10" s="9">
        <f>IF(A10="","",IF(LEFT(C10,2)="In",N(D10),-N(D10)))</f>
      </c>
    </row>
    <row r="11" spans="1:8" x14ac:dyDescent="0.25">
      <c r="H11" s="9">
        <f>IF(A11="","",IF(LEFT(C11,2)="In",N(D11),-N(D11)))</f>
      </c>
    </row>
    <row r="12" spans="1:8" x14ac:dyDescent="0.25">
      <c r="H12" s="9">
        <f>IF(A12="","",IF(LEFT(C12,2)="In",N(D12),-N(D12)))</f>
      </c>
    </row>
    <row r="13" spans="1:8" x14ac:dyDescent="0.25">
      <c r="H13" s="9">
        <f>IF(A13="","",IF(LEFT(C13,2)="In",N(D13),-N(D13)))</f>
      </c>
    </row>
    <row r="14" spans="1:8" x14ac:dyDescent="0.25">
      <c r="H14" s="9">
        <f>IF(A14="","",IF(LEFT(C14,2)="In",N(D14),-N(D14)))</f>
      </c>
    </row>
    <row r="15" spans="1:8" x14ac:dyDescent="0.25">
      <c r="H15" s="9">
        <f>IF(A15="","",IF(LEFT(C15,2)="In",N(D15),-N(D15)))</f>
      </c>
    </row>
    <row r="16" spans="1:8" x14ac:dyDescent="0.25">
      <c r="H16" s="9">
        <f>IF(A16="","",IF(LEFT(C16,2)="In",N(D16),-N(D16)))</f>
      </c>
    </row>
    <row r="17" spans="1:8" x14ac:dyDescent="0.25">
      <c r="H17" s="9">
        <f>IF(A17="","",IF(LEFT(C17,2)="In",N(D17),-N(D17)))</f>
      </c>
    </row>
    <row r="18" spans="1:8" x14ac:dyDescent="0.25">
      <c r="H18" s="9">
        <f>IF(A18="","",IF(LEFT(C18,2)="In",N(D18),-N(D18)))</f>
      </c>
    </row>
    <row r="19" spans="1:8" x14ac:dyDescent="0.25">
      <c r="H19" s="9">
        <f>IF(A19="","",IF(LEFT(C19,2)="In",N(D19),-N(D19)))</f>
      </c>
    </row>
    <row r="20" spans="1:8" x14ac:dyDescent="0.25">
      <c r="H20" s="9">
        <f>IF(A20="","",IF(LEFT(C20,2)="In",N(D20),-N(D20)))</f>
      </c>
    </row>
    <row r="21" spans="1:8" x14ac:dyDescent="0.25">
      <c r="H21" s="9">
        <f>IF(A21="","",IF(LEFT(C21,2)="In",N(D21),-N(D21)))</f>
      </c>
    </row>
    <row r="22" spans="1:8" x14ac:dyDescent="0.25">
      <c r="H22" s="9">
        <f>IF(A22="","",IF(LEFT(C22,2)="In",N(D22),-N(D22)))</f>
      </c>
    </row>
    <row r="23" spans="1:8" x14ac:dyDescent="0.25">
      <c r="H23" s="9">
        <f>IF(A23="","",IF(LEFT(C23,2)="In",N(D23),-N(D23)))</f>
      </c>
    </row>
    <row r="24" spans="1:8" x14ac:dyDescent="0.25">
      <c r="H24" s="9">
        <f>IF(A24="","",IF(LEFT(C24,2)="In",N(D24),-N(D24)))</f>
      </c>
    </row>
    <row r="25" spans="1:8" x14ac:dyDescent="0.25">
      <c r="H25" s="9">
        <f>IF(A25="","",IF(LEFT(C25,2)="In",N(D25),-N(D25)))</f>
      </c>
    </row>
    <row r="26" spans="1:8" x14ac:dyDescent="0.25">
      <c r="H26" s="9">
        <f>IF(A26="","",IF(LEFT(C26,2)="In",N(D26),-N(D26)))</f>
      </c>
    </row>
    <row r="27" spans="1:8" x14ac:dyDescent="0.25">
      <c r="H27" s="9">
        <f>IF(A27="","",IF(LEFT(C27,2)="In",N(D27),-N(D27)))</f>
      </c>
    </row>
    <row r="28" spans="1:8" x14ac:dyDescent="0.25">
      <c r="H28" s="9">
        <f>IF(A28="","",IF(LEFT(C28,2)="In",N(D28),-N(D28)))</f>
      </c>
    </row>
    <row r="29" spans="1:8" x14ac:dyDescent="0.25">
      <c r="H29" s="9">
        <f>IF(A29="","",IF(LEFT(C29,2)="In",N(D29),-N(D29)))</f>
      </c>
    </row>
    <row r="30" spans="1:8" x14ac:dyDescent="0.25">
      <c r="H30" s="9">
        <f>IF(A30="","",IF(LEFT(C30,2)="In",N(D30),-N(D30)))</f>
      </c>
    </row>
    <row r="31" spans="1:8" x14ac:dyDescent="0.25">
      <c r="H31" s="9">
        <f>IF(A31="","",IF(LEFT(C31,2)="In",N(D31),-N(D31)))</f>
      </c>
    </row>
    <row r="32" spans="1:8" x14ac:dyDescent="0.25">
      <c r="H32" s="9">
        <f>IF(A32="","",IF(LEFT(C32,2)="In",N(D32),-N(D32)))</f>
      </c>
    </row>
    <row r="33" spans="1:8" x14ac:dyDescent="0.25">
      <c r="H33" s="9">
        <f>IF(A33="","",IF(LEFT(C33,2)="In",N(D33),-N(D33)))</f>
      </c>
    </row>
    <row r="34" spans="1:8" x14ac:dyDescent="0.25">
      <c r="H34" s="9">
        <f>IF(A34="","",IF(LEFT(C34,2)="In",N(D34),-N(D34)))</f>
      </c>
    </row>
    <row r="35" spans="1:8" x14ac:dyDescent="0.25">
      <c r="H35" s="9">
        <f>IF(A35="","",IF(LEFT(C35,2)="In",N(D35),-N(D35)))</f>
      </c>
    </row>
    <row r="36" spans="1:8" x14ac:dyDescent="0.25">
      <c r="H36" s="9">
        <f>IF(A36="","",IF(LEFT(C36,2)="In",N(D36),-N(D36)))</f>
      </c>
    </row>
    <row r="37" spans="1:8" x14ac:dyDescent="0.25">
      <c r="H37" s="9">
        <f>IF(A37="","",IF(LEFT(C37,2)="In",N(D37),-N(D37)))</f>
      </c>
    </row>
    <row r="38" spans="1:8" x14ac:dyDescent="0.25">
      <c r="H38" s="9">
        <f>IF(A38="","",IF(LEFT(C38,2)="In",N(D38),-N(D38)))</f>
      </c>
    </row>
    <row r="39" spans="1:8" x14ac:dyDescent="0.25">
      <c r="H39" s="9">
        <f>IF(A39="","",IF(LEFT(C39,2)="In",N(D39),-N(D39)))</f>
      </c>
    </row>
    <row r="40" spans="1:8" x14ac:dyDescent="0.25">
      <c r="H40" s="9">
        <f>IF(A40="","",IF(LEFT(C40,2)="In",N(D40),-N(D40)))</f>
      </c>
    </row>
    <row r="41" spans="1:8" x14ac:dyDescent="0.25">
      <c r="H41" s="9">
        <f>IF(A41="","",IF(LEFT(C41,2)="In",N(D41),-N(D41)))</f>
      </c>
    </row>
    <row r="42" spans="1:8" x14ac:dyDescent="0.25">
      <c r="H42" s="9">
        <f>IF(A42="","",IF(LEFT(C42,2)="In",N(D42),-N(D42)))</f>
      </c>
    </row>
    <row r="43" spans="1:8" x14ac:dyDescent="0.25">
      <c r="H43" s="9">
        <f>IF(A43="","",IF(LEFT(C43,2)="In",N(D43),-N(D43)))</f>
      </c>
    </row>
    <row r="44" spans="1:8" x14ac:dyDescent="0.25">
      <c r="H44" s="9">
        <f>IF(A44="","",IF(LEFT(C44,2)="In",N(D44),-N(D44)))</f>
      </c>
    </row>
    <row r="45" spans="1:8" x14ac:dyDescent="0.25">
      <c r="H45" s="9">
        <f>IF(A45="","",IF(LEFT(C45,2)="In",N(D45),-N(D45)))</f>
      </c>
    </row>
    <row r="46" spans="1:8" x14ac:dyDescent="0.25">
      <c r="H46" s="9">
        <f>IF(A46="","",IF(LEFT(C46,2)="In",N(D46),-N(D46)))</f>
      </c>
    </row>
    <row r="47" spans="1:8" x14ac:dyDescent="0.25">
      <c r="H47" s="9">
        <f>IF(A47="","",IF(LEFT(C47,2)="In",N(D47),-N(D47)))</f>
      </c>
    </row>
    <row r="48" spans="1:8" x14ac:dyDescent="0.25">
      <c r="H48" s="9">
        <f>IF(A48="","",IF(LEFT(C48,2)="In",N(D48),-N(D48)))</f>
      </c>
    </row>
    <row r="49" spans="1:8" x14ac:dyDescent="0.25">
      <c r="H49" s="9">
        <f>IF(A49="","",IF(LEFT(C49,2)="In",N(D49),-N(D49)))</f>
      </c>
    </row>
    <row r="50" spans="1:8" x14ac:dyDescent="0.25">
      <c r="H50" s="9">
        <f>IF(A50="","",IF(LEFT(C50,2)="In",N(D50),-N(D50)))</f>
      </c>
    </row>
    <row r="52" spans="1:1" s="2" customFormat="1" x14ac:dyDescent="0.25">
      <c r="A52" s="2" t="s">
        <v>32</v>
      </c>
    </row>
  </sheetData>
  <dataValidations count="2">
    <dataValidation type="list" allowBlank="1" sqref="C10:C50">
      <formula1>"Out (costs),In (income)"</formula1>
    </dataValidation>
    <dataValidation type="list" allowBlank="1" sqref="C5:C50">
      <formula1>"Out (costs),In (income)"</formula1>
    </dataValidation>
  </dataValidations>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workbookViewId="0">
      <pane xSplit="1" ySplit="4" topLeftCell="B5" activePane="bottomRight" state="frozen"/>
      <selection pane="bottomRight"/>
    </sheetView>
  </sheetViews>
  <sheetFormatPr defaultRowHeight="15" outlineLevelRow="0" outlineLevelCol="0" x14ac:dyDescent="55"/>
  <cols>
    <col min="1" max="4" width="11" customWidth="1"/>
    <col min="5" max="5" width="19" customWidth="1"/>
    <col min="6" max="6" width="12" customWidth="1"/>
    <col min="7" max="7" width="13" customWidth="1"/>
    <col min="8" max="9" width="11" customWidth="1"/>
    <col min="10" max="10" width="18" customWidth="1"/>
    <col min="11" max="11" width="19" customWidth="1"/>
    <col min="12" max="12" width="20" customWidth="1"/>
    <col min="13" max="13" width="22" customWidth="1"/>
    <col min="14" max="14" width="11" customWidth="1"/>
    <col min="15" max="15" width="13" customWidth="1"/>
    <col min="16" max="17" width="11" customWidth="1"/>
    <col min="18" max="18" width="39" customWidth="1"/>
    <col min="19" max="19" width="11" customWidth="1"/>
    <col min="20" max="20" width="24" customWidth="1"/>
  </cols>
  <sheetData>
    <row r="1" spans="1:1" s="1" customFormat="1" x14ac:dyDescent="0.25">
      <c r="A1" s="1" t="s">
        <v>370</v>
      </c>
    </row>
    <row r="2" spans="1:1" s="2" customFormat="1" x14ac:dyDescent="0.25">
      <c r="A2" s="2" t="s">
        <v>371</v>
      </c>
    </row>
    <row r="4" spans="1:20" s="3" customFormat="1" x14ac:dyDescent="0.25">
      <c r="A4" s="7" t="s">
        <v>372</v>
      </c>
      <c r="B4" s="7" t="s">
        <v>373</v>
      </c>
      <c r="C4" s="7" t="s">
        <v>305</v>
      </c>
      <c r="D4" s="7" t="s">
        <v>374</v>
      </c>
      <c r="E4" s="7" t="s">
        <v>375</v>
      </c>
      <c r="F4" s="7" t="s">
        <v>376</v>
      </c>
      <c r="G4" s="7" t="s">
        <v>377</v>
      </c>
      <c r="H4" s="7" t="s">
        <v>378</v>
      </c>
      <c r="I4" s="7" t="s">
        <v>379</v>
      </c>
      <c r="J4" s="7" t="s">
        <v>380</v>
      </c>
      <c r="K4" s="7" t="s">
        <v>381</v>
      </c>
      <c r="L4" s="7" t="s">
        <v>382</v>
      </c>
      <c r="M4" s="7" t="s">
        <v>383</v>
      </c>
      <c r="N4" s="7" t="s">
        <v>384</v>
      </c>
      <c r="O4" s="7" t="s">
        <v>385</v>
      </c>
      <c r="P4" s="7" t="s">
        <v>127</v>
      </c>
      <c r="Q4" s="7" t="s">
        <v>35</v>
      </c>
      <c r="R4" s="7" t="s">
        <v>386</v>
      </c>
      <c r="S4" s="7" t="s">
        <v>387</v>
      </c>
      <c r="T4" s="7" t="s">
        <v>388</v>
      </c>
    </row>
    <row r="5" spans="1:20" x14ac:dyDescent="0.25">
      <c r="A5" t="s">
        <v>389</v>
      </c>
      <c r="B5" t="s">
        <v>390</v>
      </c>
      <c r="C5" t="s">
        <v>391</v>
      </c>
      <c r="D5" t="s">
        <v>392</v>
      </c>
      <c r="E5" t="s">
        <v>393</v>
      </c>
      <c r="F5" t="s">
        <v>394</v>
      </c>
      <c r="G5" t="s">
        <v>395</v>
      </c>
      <c r="H5" t="s">
        <v>396</v>
      </c>
      <c r="I5" t="s">
        <v>316</v>
      </c>
      <c r="J5" t="s">
        <v>397</v>
      </c>
      <c r="K5" t="s">
        <v>398</v>
      </c>
      <c r="L5">
        <v>8000</v>
      </c>
      <c r="M5">
        <v>10</v>
      </c>
      <c r="N5" s="8">
        <v>46280</v>
      </c>
      <c r="O5" s="8">
        <v>46336</v>
      </c>
      <c r="P5" t="s">
        <v>399</v>
      </c>
      <c r="Q5" t="s">
        <v>53</v>
      </c>
      <c r="R5" s="10">
        <f>IF(OR(F5="",G5=""),"",VALUE(LEFT(F5,1))*VALUE(LEFT(G5,1)))</f>
      </c>
      <c r="S5" s="10">
        <f>IF(R5="","",IF(R5&gt;=15,"Extreme",IF(R5&gt;=10,"High",IF(R5&gt;=5,"Medium","Low"))))</f>
      </c>
      <c r="T5" s="10">
        <f>IF(OR(J5="",K5=""),"",VALUE(LEFT(J5,1))*VALUE(LEFT(K5,1)))</f>
      </c>
    </row>
    <row r="6" spans="1:20" x14ac:dyDescent="0.25">
      <c r="A6" t="s">
        <v>400</v>
      </c>
      <c r="B6" t="s">
        <v>401</v>
      </c>
      <c r="C6" t="s">
        <v>402</v>
      </c>
      <c r="D6" t="s">
        <v>403</v>
      </c>
      <c r="E6" t="s">
        <v>404</v>
      </c>
      <c r="F6" t="s">
        <v>405</v>
      </c>
      <c r="G6" t="s">
        <v>406</v>
      </c>
      <c r="H6" t="s">
        <v>407</v>
      </c>
      <c r="I6" t="s">
        <v>212</v>
      </c>
      <c r="J6" t="s">
        <v>394</v>
      </c>
      <c r="K6" t="s">
        <v>406</v>
      </c>
      <c r="L6">
        <v>2500</v>
      </c>
      <c r="M6">
        <v>4</v>
      </c>
      <c r="N6" s="8">
        <v>46254</v>
      </c>
      <c r="O6" s="8">
        <v>46315</v>
      </c>
      <c r="P6" t="s">
        <v>408</v>
      </c>
      <c r="Q6" t="s">
        <v>48</v>
      </c>
      <c r="R6" s="10">
        <f>IF(OR(F6="",G6=""),"",VALUE(LEFT(F6,1))*VALUE(LEFT(G6,1)))</f>
      </c>
      <c r="S6" s="10">
        <f>IF(R6="","",IF(R6&gt;=15,"Extreme",IF(R6&gt;=10,"High",IF(R6&gt;=5,"Medium","Low"))))</f>
      </c>
      <c r="T6" s="10">
        <f>IF(OR(J6="",K6=""),"",VALUE(LEFT(J6,1))*VALUE(LEFT(K6,1)))</f>
      </c>
    </row>
    <row r="7" spans="1:20" x14ac:dyDescent="0.25">
      <c r="A7" t="s">
        <v>409</v>
      </c>
      <c r="B7" t="s">
        <v>410</v>
      </c>
      <c r="C7" t="s">
        <v>411</v>
      </c>
      <c r="D7" t="s">
        <v>412</v>
      </c>
      <c r="E7" t="s">
        <v>413</v>
      </c>
      <c r="F7" t="s">
        <v>397</v>
      </c>
      <c r="G7" t="s">
        <v>395</v>
      </c>
      <c r="L7">
        <v>12000</v>
      </c>
      <c r="M7">
        <v>15</v>
      </c>
      <c r="N7" s="8">
        <v>46300</v>
      </c>
      <c r="O7" s="8">
        <v>46356</v>
      </c>
      <c r="P7" t="s">
        <v>399</v>
      </c>
      <c r="Q7" t="s">
        <v>51</v>
      </c>
      <c r="R7" s="10">
        <f>IF(OR(F7="",G7=""),"",VALUE(LEFT(F7,1))*VALUE(LEFT(G7,1)))</f>
      </c>
      <c r="S7" s="10">
        <f>IF(R7="","",IF(R7&gt;=15,"Extreme",IF(R7&gt;=10,"High",IF(R7&gt;=5,"Medium","Low"))))</f>
      </c>
      <c r="T7" s="10">
        <f>IF(OR(J7="",K7=""),"",VALUE(LEFT(J7,1))*VALUE(LEFT(K7,1)))</f>
      </c>
    </row>
    <row r="8" spans="1:20" x14ac:dyDescent="0.25">
      <c r="A8" t="s">
        <v>414</v>
      </c>
      <c r="B8" t="s">
        <v>415</v>
      </c>
      <c r="C8" t="s">
        <v>416</v>
      </c>
      <c r="D8" t="s">
        <v>417</v>
      </c>
      <c r="E8" t="s">
        <v>418</v>
      </c>
      <c r="F8" t="s">
        <v>397</v>
      </c>
      <c r="G8" t="s">
        <v>419</v>
      </c>
      <c r="H8" t="s">
        <v>420</v>
      </c>
      <c r="I8" t="s">
        <v>212</v>
      </c>
      <c r="J8" t="s">
        <v>421</v>
      </c>
      <c r="K8" t="s">
        <v>419</v>
      </c>
      <c r="N8" s="8">
        <v>46296</v>
      </c>
      <c r="O8" s="8">
        <v>46351</v>
      </c>
      <c r="P8" t="s">
        <v>399</v>
      </c>
      <c r="Q8" t="s">
        <v>53</v>
      </c>
      <c r="R8" s="10">
        <f>IF(OR(F8="",G8=""),"",VALUE(LEFT(F8,1))*VALUE(LEFT(G8,1)))</f>
      </c>
      <c r="S8" s="10">
        <f>IF(R8="","",IF(R8&gt;=15,"Extreme",IF(R8&gt;=10,"High",IF(R8&gt;=5,"Medium","Low"))))</f>
      </c>
      <c r="T8" s="10">
        <f>IF(OR(J8="",K8=""),"",VALUE(LEFT(J8,1))*VALUE(LEFT(K8,1)))</f>
      </c>
    </row>
    <row r="9" spans="1:20" x14ac:dyDescent="0.25">
      <c r="R9" s="10">
        <f>IF(OR(F9="",G9=""),"",VALUE(LEFT(F9,1))*VALUE(LEFT(G9,1)))</f>
      </c>
      <c r="S9" s="10">
        <f>IF(R9="","",IF(R9&gt;=15,"Extreme",IF(R9&gt;=10,"High",IF(R9&gt;=5,"Medium","Low"))))</f>
      </c>
      <c r="T9" s="10">
        <f>IF(OR(J9="",K9=""),"",VALUE(LEFT(J9,1))*VALUE(LEFT(K9,1)))</f>
      </c>
    </row>
    <row r="10" spans="1:20" x14ac:dyDescent="0.25">
      <c r="R10" s="10">
        <f>IF(OR(F10="",G10=""),"",VALUE(LEFT(F10,1))*VALUE(LEFT(G10,1)))</f>
      </c>
      <c r="S10" s="10">
        <f>IF(R10="","",IF(R10&gt;=15,"Extreme",IF(R10&gt;=10,"High",IF(R10&gt;=5,"Medium","Low"))))</f>
      </c>
      <c r="T10" s="10">
        <f>IF(OR(J10="",K10=""),"",VALUE(LEFT(J10,1))*VALUE(LEFT(K10,1)))</f>
      </c>
    </row>
    <row r="11" spans="1:20" x14ac:dyDescent="0.25">
      <c r="R11" s="10">
        <f>IF(OR(F11="",G11=""),"",VALUE(LEFT(F11,1))*VALUE(LEFT(G11,1)))</f>
      </c>
      <c r="S11" s="10">
        <f>IF(R11="","",IF(R11&gt;=15,"Extreme",IF(R11&gt;=10,"High",IF(R11&gt;=5,"Medium","Low"))))</f>
      </c>
      <c r="T11" s="10">
        <f>IF(OR(J11="",K11=""),"",VALUE(LEFT(J11,1))*VALUE(LEFT(K11,1)))</f>
      </c>
    </row>
    <row r="12" spans="1:20" x14ac:dyDescent="0.25">
      <c r="R12" s="10">
        <f>IF(OR(F12="",G12=""),"",VALUE(LEFT(F12,1))*VALUE(LEFT(G12,1)))</f>
      </c>
      <c r="S12" s="10">
        <f>IF(R12="","",IF(R12&gt;=15,"Extreme",IF(R12&gt;=10,"High",IF(R12&gt;=5,"Medium","Low"))))</f>
      </c>
      <c r="T12" s="10">
        <f>IF(OR(J12="",K12=""),"",VALUE(LEFT(J12,1))*VALUE(LEFT(K12,1)))</f>
      </c>
    </row>
    <row r="13" spans="1:20" x14ac:dyDescent="0.25">
      <c r="R13" s="10">
        <f>IF(OR(F13="",G13=""),"",VALUE(LEFT(F13,1))*VALUE(LEFT(G13,1)))</f>
      </c>
      <c r="S13" s="10">
        <f>IF(R13="","",IF(R13&gt;=15,"Extreme",IF(R13&gt;=10,"High",IF(R13&gt;=5,"Medium","Low"))))</f>
      </c>
      <c r="T13" s="10">
        <f>IF(OR(J13="",K13=""),"",VALUE(LEFT(J13,1))*VALUE(LEFT(K13,1)))</f>
      </c>
    </row>
    <row r="14" spans="1:20" x14ac:dyDescent="0.25">
      <c r="R14" s="10">
        <f>IF(OR(F14="",G14=""),"",VALUE(LEFT(F14,1))*VALUE(LEFT(G14,1)))</f>
      </c>
      <c r="S14" s="10">
        <f>IF(R14="","",IF(R14&gt;=15,"Extreme",IF(R14&gt;=10,"High",IF(R14&gt;=5,"Medium","Low"))))</f>
      </c>
      <c r="T14" s="10">
        <f>IF(OR(J14="",K14=""),"",VALUE(LEFT(J14,1))*VALUE(LEFT(K14,1)))</f>
      </c>
    </row>
    <row r="15" spans="1:20" x14ac:dyDescent="0.25">
      <c r="R15" s="10">
        <f>IF(OR(F15="",G15=""),"",VALUE(LEFT(F15,1))*VALUE(LEFT(G15,1)))</f>
      </c>
      <c r="S15" s="10">
        <f>IF(R15="","",IF(R15&gt;=15,"Extreme",IF(R15&gt;=10,"High",IF(R15&gt;=5,"Medium","Low"))))</f>
      </c>
      <c r="T15" s="10">
        <f>IF(OR(J15="",K15=""),"",VALUE(LEFT(J15,1))*VALUE(LEFT(K15,1)))</f>
      </c>
    </row>
    <row r="16" spans="1:20" x14ac:dyDescent="0.25">
      <c r="R16" s="10">
        <f>IF(OR(F16="",G16=""),"",VALUE(LEFT(F16,1))*VALUE(LEFT(G16,1)))</f>
      </c>
      <c r="S16" s="10">
        <f>IF(R16="","",IF(R16&gt;=15,"Extreme",IF(R16&gt;=10,"High",IF(R16&gt;=5,"Medium","Low"))))</f>
      </c>
      <c r="T16" s="10">
        <f>IF(OR(J16="",K16=""),"",VALUE(LEFT(J16,1))*VALUE(LEFT(K16,1)))</f>
      </c>
    </row>
    <row r="17" spans="1:20" x14ac:dyDescent="0.25">
      <c r="R17" s="10">
        <f>IF(OR(F17="",G17=""),"",VALUE(LEFT(F17,1))*VALUE(LEFT(G17,1)))</f>
      </c>
      <c r="S17" s="10">
        <f>IF(R17="","",IF(R17&gt;=15,"Extreme",IF(R17&gt;=10,"High",IF(R17&gt;=5,"Medium","Low"))))</f>
      </c>
      <c r="T17" s="10">
        <f>IF(OR(J17="",K17=""),"",VALUE(LEFT(J17,1))*VALUE(LEFT(K17,1)))</f>
      </c>
    </row>
    <row r="18" spans="1:20" x14ac:dyDescent="0.25">
      <c r="R18" s="10">
        <f>IF(OR(F18="",G18=""),"",VALUE(LEFT(F18,1))*VALUE(LEFT(G18,1)))</f>
      </c>
      <c r="S18" s="10">
        <f>IF(R18="","",IF(R18&gt;=15,"Extreme",IF(R18&gt;=10,"High",IF(R18&gt;=5,"Medium","Low"))))</f>
      </c>
      <c r="T18" s="10">
        <f>IF(OR(J18="",K18=""),"",VALUE(LEFT(J18,1))*VALUE(LEFT(K18,1)))</f>
      </c>
    </row>
    <row r="19" spans="1:20" x14ac:dyDescent="0.25">
      <c r="R19" s="10">
        <f>IF(OR(F19="",G19=""),"",VALUE(LEFT(F19,1))*VALUE(LEFT(G19,1)))</f>
      </c>
      <c r="S19" s="10">
        <f>IF(R19="","",IF(R19&gt;=15,"Extreme",IF(R19&gt;=10,"High",IF(R19&gt;=5,"Medium","Low"))))</f>
      </c>
      <c r="T19" s="10">
        <f>IF(OR(J19="",K19=""),"",VALUE(LEFT(J19,1))*VALUE(LEFT(K19,1)))</f>
      </c>
    </row>
    <row r="20" spans="1:20" x14ac:dyDescent="0.25">
      <c r="R20" s="10">
        <f>IF(OR(F20="",G20=""),"",VALUE(LEFT(F20,1))*VALUE(LEFT(G20,1)))</f>
      </c>
      <c r="S20" s="10">
        <f>IF(R20="","",IF(R20&gt;=15,"Extreme",IF(R20&gt;=10,"High",IF(R20&gt;=5,"Medium","Low"))))</f>
      </c>
      <c r="T20" s="10">
        <f>IF(OR(J20="",K20=""),"",VALUE(LEFT(J20,1))*VALUE(LEFT(K20,1)))</f>
      </c>
    </row>
    <row r="21" spans="1:20" x14ac:dyDescent="0.25">
      <c r="R21" s="10">
        <f>IF(OR(F21="",G21=""),"",VALUE(LEFT(F21,1))*VALUE(LEFT(G21,1)))</f>
      </c>
      <c r="S21" s="10">
        <f>IF(R21="","",IF(R21&gt;=15,"Extreme",IF(R21&gt;=10,"High",IF(R21&gt;=5,"Medium","Low"))))</f>
      </c>
      <c r="T21" s="10">
        <f>IF(OR(J21="",K21=""),"",VALUE(LEFT(J21,1))*VALUE(LEFT(K21,1)))</f>
      </c>
    </row>
    <row r="22" spans="1:20" x14ac:dyDescent="0.25">
      <c r="R22" s="10">
        <f>IF(OR(F22="",G22=""),"",VALUE(LEFT(F22,1))*VALUE(LEFT(G22,1)))</f>
      </c>
      <c r="S22" s="10">
        <f>IF(R22="","",IF(R22&gt;=15,"Extreme",IF(R22&gt;=10,"High",IF(R22&gt;=5,"Medium","Low"))))</f>
      </c>
      <c r="T22" s="10">
        <f>IF(OR(J22="",K22=""),"",VALUE(LEFT(J22,1))*VALUE(LEFT(K22,1)))</f>
      </c>
    </row>
    <row r="23" spans="1:20" x14ac:dyDescent="0.25">
      <c r="R23" s="10">
        <f>IF(OR(F23="",G23=""),"",VALUE(LEFT(F23,1))*VALUE(LEFT(G23,1)))</f>
      </c>
      <c r="S23" s="10">
        <f>IF(R23="","",IF(R23&gt;=15,"Extreme",IF(R23&gt;=10,"High",IF(R23&gt;=5,"Medium","Low"))))</f>
      </c>
      <c r="T23" s="10">
        <f>IF(OR(J23="",K23=""),"",VALUE(LEFT(J23,1))*VALUE(LEFT(K23,1)))</f>
      </c>
    </row>
    <row r="24" spans="1:20" x14ac:dyDescent="0.25">
      <c r="R24" s="10">
        <f>IF(OR(F24="",G24=""),"",VALUE(LEFT(F24,1))*VALUE(LEFT(G24,1)))</f>
      </c>
      <c r="S24" s="10">
        <f>IF(R24="","",IF(R24&gt;=15,"Extreme",IF(R24&gt;=10,"High",IF(R24&gt;=5,"Medium","Low"))))</f>
      </c>
      <c r="T24" s="10">
        <f>IF(OR(J24="",K24=""),"",VALUE(LEFT(J24,1))*VALUE(LEFT(K24,1)))</f>
      </c>
    </row>
    <row r="25" spans="1:20" x14ac:dyDescent="0.25">
      <c r="R25" s="10">
        <f>IF(OR(F25="",G25=""),"",VALUE(LEFT(F25,1))*VALUE(LEFT(G25,1)))</f>
      </c>
      <c r="S25" s="10">
        <f>IF(R25="","",IF(R25&gt;=15,"Extreme",IF(R25&gt;=10,"High",IF(R25&gt;=5,"Medium","Low"))))</f>
      </c>
      <c r="T25" s="10">
        <f>IF(OR(J25="",K25=""),"",VALUE(LEFT(J25,1))*VALUE(LEFT(K25,1)))</f>
      </c>
    </row>
    <row r="26" spans="1:20" x14ac:dyDescent="0.25">
      <c r="R26" s="10">
        <f>IF(OR(F26="",G26=""),"",VALUE(LEFT(F26,1))*VALUE(LEFT(G26,1)))</f>
      </c>
      <c r="S26" s="10">
        <f>IF(R26="","",IF(R26&gt;=15,"Extreme",IF(R26&gt;=10,"High",IF(R26&gt;=5,"Medium","Low"))))</f>
      </c>
      <c r="T26" s="10">
        <f>IF(OR(J26="",K26=""),"",VALUE(LEFT(J26,1))*VALUE(LEFT(K26,1)))</f>
      </c>
    </row>
    <row r="27" spans="1:20" x14ac:dyDescent="0.25">
      <c r="R27" s="10">
        <f>IF(OR(F27="",G27=""),"",VALUE(LEFT(F27,1))*VALUE(LEFT(G27,1)))</f>
      </c>
      <c r="S27" s="10">
        <f>IF(R27="","",IF(R27&gt;=15,"Extreme",IF(R27&gt;=10,"High",IF(R27&gt;=5,"Medium","Low"))))</f>
      </c>
      <c r="T27" s="10">
        <f>IF(OR(J27="",K27=""),"",VALUE(LEFT(J27,1))*VALUE(LEFT(K27,1)))</f>
      </c>
    </row>
    <row r="28" spans="1:20" x14ac:dyDescent="0.25">
      <c r="R28" s="10">
        <f>IF(OR(F28="",G28=""),"",VALUE(LEFT(F28,1))*VALUE(LEFT(G28,1)))</f>
      </c>
      <c r="S28" s="10">
        <f>IF(R28="","",IF(R28&gt;=15,"Extreme",IF(R28&gt;=10,"High",IF(R28&gt;=5,"Medium","Low"))))</f>
      </c>
      <c r="T28" s="10">
        <f>IF(OR(J28="",K28=""),"",VALUE(LEFT(J28,1))*VALUE(LEFT(K28,1)))</f>
      </c>
    </row>
    <row r="29" spans="1:20" x14ac:dyDescent="0.25">
      <c r="R29" s="10">
        <f>IF(OR(F29="",G29=""),"",VALUE(LEFT(F29,1))*VALUE(LEFT(G29,1)))</f>
      </c>
      <c r="S29" s="10">
        <f>IF(R29="","",IF(R29&gt;=15,"Extreme",IF(R29&gt;=10,"High",IF(R29&gt;=5,"Medium","Low"))))</f>
      </c>
      <c r="T29" s="10">
        <f>IF(OR(J29="",K29=""),"",VALUE(LEFT(J29,1))*VALUE(LEFT(K29,1)))</f>
      </c>
    </row>
    <row r="30" spans="1:20" x14ac:dyDescent="0.25">
      <c r="R30" s="10">
        <f>IF(OR(F30="",G30=""),"",VALUE(LEFT(F30,1))*VALUE(LEFT(G30,1)))</f>
      </c>
      <c r="S30" s="10">
        <f>IF(R30="","",IF(R30&gt;=15,"Extreme",IF(R30&gt;=10,"High",IF(R30&gt;=5,"Medium","Low"))))</f>
      </c>
      <c r="T30" s="10">
        <f>IF(OR(J30="",K30=""),"",VALUE(LEFT(J30,1))*VALUE(LEFT(K30,1)))</f>
      </c>
    </row>
    <row r="31" spans="1:20" x14ac:dyDescent="0.25">
      <c r="R31" s="10">
        <f>IF(OR(F31="",G31=""),"",VALUE(LEFT(F31,1))*VALUE(LEFT(G31,1)))</f>
      </c>
      <c r="S31" s="10">
        <f>IF(R31="","",IF(R31&gt;=15,"Extreme",IF(R31&gt;=10,"High",IF(R31&gt;=5,"Medium","Low"))))</f>
      </c>
      <c r="T31" s="10">
        <f>IF(OR(J31="",K31=""),"",VALUE(LEFT(J31,1))*VALUE(LEFT(K31,1)))</f>
      </c>
    </row>
    <row r="32" spans="1:20" x14ac:dyDescent="0.25">
      <c r="R32" s="10">
        <f>IF(OR(F32="",G32=""),"",VALUE(LEFT(F32,1))*VALUE(LEFT(G32,1)))</f>
      </c>
      <c r="S32" s="10">
        <f>IF(R32="","",IF(R32&gt;=15,"Extreme",IF(R32&gt;=10,"High",IF(R32&gt;=5,"Medium","Low"))))</f>
      </c>
      <c r="T32" s="10">
        <f>IF(OR(J32="",K32=""),"",VALUE(LEFT(J32,1))*VALUE(LEFT(K32,1)))</f>
      </c>
    </row>
    <row r="33" spans="1:20" x14ac:dyDescent="0.25">
      <c r="R33" s="10">
        <f>IF(OR(F33="",G33=""),"",VALUE(LEFT(F33,1))*VALUE(LEFT(G33,1)))</f>
      </c>
      <c r="S33" s="10">
        <f>IF(R33="","",IF(R33&gt;=15,"Extreme",IF(R33&gt;=10,"High",IF(R33&gt;=5,"Medium","Low"))))</f>
      </c>
      <c r="T33" s="10">
        <f>IF(OR(J33="",K33=""),"",VALUE(LEFT(J33,1))*VALUE(LEFT(K33,1)))</f>
      </c>
    </row>
    <row r="34" spans="1:20" x14ac:dyDescent="0.25">
      <c r="R34" s="10">
        <f>IF(OR(F34="",G34=""),"",VALUE(LEFT(F34,1))*VALUE(LEFT(G34,1)))</f>
      </c>
      <c r="S34" s="10">
        <f>IF(R34="","",IF(R34&gt;=15,"Extreme",IF(R34&gt;=10,"High",IF(R34&gt;=5,"Medium","Low"))))</f>
      </c>
      <c r="T34" s="10">
        <f>IF(OR(J34="",K34=""),"",VALUE(LEFT(J34,1))*VALUE(LEFT(K34,1)))</f>
      </c>
    </row>
    <row r="35" spans="1:20" x14ac:dyDescent="0.25">
      <c r="R35" s="10">
        <f>IF(OR(F35="",G35=""),"",VALUE(LEFT(F35,1))*VALUE(LEFT(G35,1)))</f>
      </c>
      <c r="S35" s="10">
        <f>IF(R35="","",IF(R35&gt;=15,"Extreme",IF(R35&gt;=10,"High",IF(R35&gt;=5,"Medium","Low"))))</f>
      </c>
      <c r="T35" s="10">
        <f>IF(OR(J35="",K35=""),"",VALUE(LEFT(J35,1))*VALUE(LEFT(K35,1)))</f>
      </c>
    </row>
    <row r="36" spans="1:20" x14ac:dyDescent="0.25">
      <c r="R36" s="10">
        <f>IF(OR(F36="",G36=""),"",VALUE(LEFT(F36,1))*VALUE(LEFT(G36,1)))</f>
      </c>
      <c r="S36" s="10">
        <f>IF(R36="","",IF(R36&gt;=15,"Extreme",IF(R36&gt;=10,"High",IF(R36&gt;=5,"Medium","Low"))))</f>
      </c>
      <c r="T36" s="10">
        <f>IF(OR(J36="",K36=""),"",VALUE(LEFT(J36,1))*VALUE(LEFT(K36,1)))</f>
      </c>
    </row>
    <row r="37" spans="1:20" x14ac:dyDescent="0.25">
      <c r="R37" s="10">
        <f>IF(OR(F37="",G37=""),"",VALUE(LEFT(F37,1))*VALUE(LEFT(G37,1)))</f>
      </c>
      <c r="S37" s="10">
        <f>IF(R37="","",IF(R37&gt;=15,"Extreme",IF(R37&gt;=10,"High",IF(R37&gt;=5,"Medium","Low"))))</f>
      </c>
      <c r="T37" s="10">
        <f>IF(OR(J37="",K37=""),"",VALUE(LEFT(J37,1))*VALUE(LEFT(K37,1)))</f>
      </c>
    </row>
    <row r="38" spans="1:20" x14ac:dyDescent="0.25">
      <c r="R38" s="10">
        <f>IF(OR(F38="",G38=""),"",VALUE(LEFT(F38,1))*VALUE(LEFT(G38,1)))</f>
      </c>
      <c r="S38" s="10">
        <f>IF(R38="","",IF(R38&gt;=15,"Extreme",IF(R38&gt;=10,"High",IF(R38&gt;=5,"Medium","Low"))))</f>
      </c>
      <c r="T38" s="10">
        <f>IF(OR(J38="",K38=""),"",VALUE(LEFT(J38,1))*VALUE(LEFT(K38,1)))</f>
      </c>
    </row>
    <row r="39" spans="1:20" x14ac:dyDescent="0.25">
      <c r="R39" s="10">
        <f>IF(OR(F39="",G39=""),"",VALUE(LEFT(F39,1))*VALUE(LEFT(G39,1)))</f>
      </c>
      <c r="S39" s="10">
        <f>IF(R39="","",IF(R39&gt;=15,"Extreme",IF(R39&gt;=10,"High",IF(R39&gt;=5,"Medium","Low"))))</f>
      </c>
      <c r="T39" s="10">
        <f>IF(OR(J39="",K39=""),"",VALUE(LEFT(J39,1))*VALUE(LEFT(K39,1)))</f>
      </c>
    </row>
    <row r="40" spans="1:20" x14ac:dyDescent="0.25">
      <c r="R40" s="10">
        <f>IF(OR(F40="",G40=""),"",VALUE(LEFT(F40,1))*VALUE(LEFT(G40,1)))</f>
      </c>
      <c r="S40" s="10">
        <f>IF(R40="","",IF(R40&gt;=15,"Extreme",IF(R40&gt;=10,"High",IF(R40&gt;=5,"Medium","Low"))))</f>
      </c>
      <c r="T40" s="10">
        <f>IF(OR(J40="",K40=""),"",VALUE(LEFT(J40,1))*VALUE(LEFT(K40,1)))</f>
      </c>
    </row>
    <row r="41" spans="1:20" x14ac:dyDescent="0.25">
      <c r="R41" s="10">
        <f>IF(OR(F41="",G41=""),"",VALUE(LEFT(F41,1))*VALUE(LEFT(G41,1)))</f>
      </c>
      <c r="S41" s="10">
        <f>IF(R41="","",IF(R41&gt;=15,"Extreme",IF(R41&gt;=10,"High",IF(R41&gt;=5,"Medium","Low"))))</f>
      </c>
      <c r="T41" s="10">
        <f>IF(OR(J41="",K41=""),"",VALUE(LEFT(J41,1))*VALUE(LEFT(K41,1)))</f>
      </c>
    </row>
    <row r="42" spans="1:20" x14ac:dyDescent="0.25">
      <c r="R42" s="10">
        <f>IF(OR(F42="",G42=""),"",VALUE(LEFT(F42,1))*VALUE(LEFT(G42,1)))</f>
      </c>
      <c r="S42" s="10">
        <f>IF(R42="","",IF(R42&gt;=15,"Extreme",IF(R42&gt;=10,"High",IF(R42&gt;=5,"Medium","Low"))))</f>
      </c>
      <c r="T42" s="10">
        <f>IF(OR(J42="",K42=""),"",VALUE(LEFT(J42,1))*VALUE(LEFT(K42,1)))</f>
      </c>
    </row>
    <row r="43" spans="1:20" x14ac:dyDescent="0.25">
      <c r="R43" s="10">
        <f>IF(OR(F43="",G43=""),"",VALUE(LEFT(F43,1))*VALUE(LEFT(G43,1)))</f>
      </c>
      <c r="S43" s="10">
        <f>IF(R43="","",IF(R43&gt;=15,"Extreme",IF(R43&gt;=10,"High",IF(R43&gt;=5,"Medium","Low"))))</f>
      </c>
      <c r="T43" s="10">
        <f>IF(OR(J43="",K43=""),"",VALUE(LEFT(J43,1))*VALUE(LEFT(K43,1)))</f>
      </c>
    </row>
    <row r="44" spans="1:20" x14ac:dyDescent="0.25">
      <c r="R44" s="10">
        <f>IF(OR(F44="",G44=""),"",VALUE(LEFT(F44,1))*VALUE(LEFT(G44,1)))</f>
      </c>
      <c r="S44" s="10">
        <f>IF(R44="","",IF(R44&gt;=15,"Extreme",IF(R44&gt;=10,"High",IF(R44&gt;=5,"Medium","Low"))))</f>
      </c>
      <c r="T44" s="10">
        <f>IF(OR(J44="",K44=""),"",VALUE(LEFT(J44,1))*VALUE(LEFT(K44,1)))</f>
      </c>
    </row>
    <row r="45" spans="1:20" x14ac:dyDescent="0.25">
      <c r="R45" s="10">
        <f>IF(OR(F45="",G45=""),"",VALUE(LEFT(F45,1))*VALUE(LEFT(G45,1)))</f>
      </c>
      <c r="S45" s="10">
        <f>IF(R45="","",IF(R45&gt;=15,"Extreme",IF(R45&gt;=10,"High",IF(R45&gt;=5,"Medium","Low"))))</f>
      </c>
      <c r="T45" s="10">
        <f>IF(OR(J45="",K45=""),"",VALUE(LEFT(J45,1))*VALUE(LEFT(K45,1)))</f>
      </c>
    </row>
    <row r="46" spans="1:20" x14ac:dyDescent="0.25">
      <c r="R46" s="10">
        <f>IF(OR(F46="",G46=""),"",VALUE(LEFT(F46,1))*VALUE(LEFT(G46,1)))</f>
      </c>
      <c r="S46" s="10">
        <f>IF(R46="","",IF(R46&gt;=15,"Extreme",IF(R46&gt;=10,"High",IF(R46&gt;=5,"Medium","Low"))))</f>
      </c>
      <c r="T46" s="10">
        <f>IF(OR(J46="",K46=""),"",VALUE(LEFT(J46,1))*VALUE(LEFT(K46,1)))</f>
      </c>
    </row>
    <row r="47" spans="1:20" x14ac:dyDescent="0.25">
      <c r="R47" s="10">
        <f>IF(OR(F47="",G47=""),"",VALUE(LEFT(F47,1))*VALUE(LEFT(G47,1)))</f>
      </c>
      <c r="S47" s="10">
        <f>IF(R47="","",IF(R47&gt;=15,"Extreme",IF(R47&gt;=10,"High",IF(R47&gt;=5,"Medium","Low"))))</f>
      </c>
      <c r="T47" s="10">
        <f>IF(OR(J47="",K47=""),"",VALUE(LEFT(J47,1))*VALUE(LEFT(K47,1)))</f>
      </c>
    </row>
    <row r="48" spans="1:20" x14ac:dyDescent="0.25">
      <c r="R48" s="10">
        <f>IF(OR(F48="",G48=""),"",VALUE(LEFT(F48,1))*VALUE(LEFT(G48,1)))</f>
      </c>
      <c r="S48" s="10">
        <f>IF(R48="","",IF(R48&gt;=15,"Extreme",IF(R48&gt;=10,"High",IF(R48&gt;=5,"Medium","Low"))))</f>
      </c>
      <c r="T48" s="10">
        <f>IF(OR(J48="",K48=""),"",VALUE(LEFT(J48,1))*VALUE(LEFT(K48,1)))</f>
      </c>
    </row>
    <row r="50" spans="1:1" s="2" customFormat="1" x14ac:dyDescent="0.25">
      <c r="A50" s="2" t="s">
        <v>32</v>
      </c>
    </row>
  </sheetData>
  <dataValidations count="10">
    <dataValidation type="list" allowBlank="1" sqref="F10:F48">
      <formula1>"1 Rare,2 Unlikely,3 Possible,4 Likely,5 Almost certain"</formula1>
    </dataValidation>
    <dataValidation type="list" allowBlank="1" sqref="F5:F48">
      <formula1>"1 Rare,2 Unlikely,3 Possible,4 Likely,5 Almost certain"</formula1>
    </dataValidation>
    <dataValidation type="list" allowBlank="1" sqref="G10:G48">
      <formula1>"1 Insignificant,2 Minor,3 Moderate,4 Major,5 Severe"</formula1>
    </dataValidation>
    <dataValidation type="list" allowBlank="1" sqref="G5:G48">
      <formula1>"1 Insignificant,2 Minor,3 Moderate,4 Major,5 Severe"</formula1>
    </dataValidation>
    <dataValidation type="list" allowBlank="1" sqref="J10:J48">
      <formula1>"1 Rare,2 Unlikely,3 Possible,4 Likely,5 Almost certain"</formula1>
    </dataValidation>
    <dataValidation type="list" allowBlank="1" sqref="J5:J48">
      <formula1>"1 Rare,2 Unlikely,3 Possible,4 Likely,5 Almost certain"</formula1>
    </dataValidation>
    <dataValidation type="list" allowBlank="1" sqref="K10:K48">
      <formula1>"1 Insignificant,2 Minor,3 Moderate,4 Major,5 Severe"</formula1>
    </dataValidation>
    <dataValidation type="list" allowBlank="1" sqref="K5:K48">
      <formula1>"1 Insignificant,2 Minor,3 Moderate,4 Major,5 Severe"</formula1>
    </dataValidation>
    <dataValidation type="list" allowBlank="1" sqref="P10:P48">
      <formula1>"Open,Being treated,Closed,Happened"</formula1>
    </dataValidation>
    <dataValidation type="list" allowBlank="1" sqref="P5:P48">
      <formula1>"Open,Being treated,Closed,Happened"</formula1>
    </dataValidation>
  </dataValidations>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pane xSplit="1" ySplit="4" topLeftCell="B5" activePane="bottomRight" state="frozen"/>
      <selection pane="bottomRight"/>
    </sheetView>
  </sheetViews>
  <sheetFormatPr defaultRowHeight="15" outlineLevelRow="0" outlineLevelCol="0" x14ac:dyDescent="55"/>
  <cols>
    <col min="1" max="1" width="13" customWidth="1"/>
    <col min="2" max="2" width="14" customWidth="1"/>
    <col min="3" max="3" width="11" customWidth="1"/>
    <col min="4" max="4" width="13" customWidth="1"/>
    <col min="5" max="5" width="15" customWidth="1"/>
    <col min="6" max="6" width="16" customWidth="1"/>
    <col min="7" max="7" width="17" customWidth="1"/>
    <col min="8" max="8" width="14" customWidth="1"/>
    <col min="9" max="9" width="15" customWidth="1"/>
    <col min="10" max="10" width="12" customWidth="1"/>
    <col min="11" max="14" width="11" customWidth="1"/>
    <col min="15" max="15" width="20" customWidth="1"/>
  </cols>
  <sheetData>
    <row r="1" spans="1:1" s="1" customFormat="1" x14ac:dyDescent="0.25">
      <c r="A1" s="1" t="s">
        <v>422</v>
      </c>
    </row>
    <row r="2" spans="1:1" s="2" customFormat="1" x14ac:dyDescent="0.25">
      <c r="A2" s="2" t="s">
        <v>423</v>
      </c>
    </row>
    <row r="4" spans="1:15" s="3" customFormat="1" x14ac:dyDescent="0.25">
      <c r="A4" s="7" t="s">
        <v>424</v>
      </c>
      <c r="B4" s="7" t="s">
        <v>425</v>
      </c>
      <c r="C4" s="7" t="s">
        <v>426</v>
      </c>
      <c r="D4" s="7" t="s">
        <v>427</v>
      </c>
      <c r="E4" s="7" t="s">
        <v>428</v>
      </c>
      <c r="F4" s="7" t="s">
        <v>429</v>
      </c>
      <c r="G4" s="7" t="s">
        <v>430</v>
      </c>
      <c r="H4" s="7" t="s">
        <v>431</v>
      </c>
      <c r="I4" s="7" t="s">
        <v>432</v>
      </c>
      <c r="J4" s="7" t="s">
        <v>44</v>
      </c>
      <c r="K4" s="7" t="s">
        <v>433</v>
      </c>
      <c r="L4" s="7" t="s">
        <v>434</v>
      </c>
      <c r="M4" s="7" t="s">
        <v>266</v>
      </c>
      <c r="N4" s="7" t="s">
        <v>127</v>
      </c>
      <c r="O4" s="7" t="s">
        <v>435</v>
      </c>
    </row>
    <row r="5" spans="1:15" x14ac:dyDescent="0.25">
      <c r="A5" t="s">
        <v>436</v>
      </c>
      <c r="B5" t="s">
        <v>437</v>
      </c>
      <c r="C5" t="s">
        <v>438</v>
      </c>
      <c r="D5" t="s">
        <v>439</v>
      </c>
      <c r="E5" s="8">
        <v>46258</v>
      </c>
      <c r="F5" s="8">
        <v>46262</v>
      </c>
      <c r="H5" s="8">
        <v>46258</v>
      </c>
      <c r="I5" s="8">
        <v>46262</v>
      </c>
      <c r="J5">
        <v>100</v>
      </c>
      <c r="K5" t="s">
        <v>440</v>
      </c>
      <c r="L5" t="s">
        <v>440</v>
      </c>
      <c r="N5" s="10">
        <f>IF(A5="","",IF(I5&lt;&gt;"","Finished",IF(AND(F5&lt;&gt;"",TODAY()&gt;F5),"Late","Open")))</f>
      </c>
      <c r="O5" s="10">
        <f>IF(OR(A5="",G5="",F5=""),"",F5-G5)</f>
      </c>
    </row>
    <row r="6" spans="1:15" x14ac:dyDescent="0.25">
      <c r="A6" t="s">
        <v>441</v>
      </c>
      <c r="B6" t="s">
        <v>442</v>
      </c>
      <c r="C6" t="s">
        <v>49</v>
      </c>
      <c r="D6" t="s">
        <v>439</v>
      </c>
      <c r="E6" s="8">
        <v>46266</v>
      </c>
      <c r="F6" s="8">
        <v>46297</v>
      </c>
      <c r="H6" s="8">
        <v>46266</v>
      </c>
      <c r="I6" s="8">
        <v>46297</v>
      </c>
      <c r="J6">
        <v>100</v>
      </c>
      <c r="K6" t="s">
        <v>440</v>
      </c>
      <c r="L6" t="s">
        <v>443</v>
      </c>
      <c r="M6" t="s">
        <v>48</v>
      </c>
      <c r="N6" s="10">
        <f>IF(A6="","",IF(I6&lt;&gt;"","Finished",IF(AND(F6&lt;&gt;"",TODAY()&gt;F6),"Late","Open")))</f>
      </c>
      <c r="O6" s="10">
        <f>IF(OR(A6="",G6="",F6=""),"",F6-G6)</f>
      </c>
    </row>
    <row r="7" spans="1:15" x14ac:dyDescent="0.25">
      <c r="A7" t="s">
        <v>444</v>
      </c>
      <c r="B7" t="s">
        <v>445</v>
      </c>
      <c r="C7" t="s">
        <v>52</v>
      </c>
      <c r="D7" t="s">
        <v>446</v>
      </c>
      <c r="E7" s="8">
        <v>46300</v>
      </c>
      <c r="F7" s="8">
        <v>46346</v>
      </c>
      <c r="H7" s="8">
        <v>46300</v>
      </c>
      <c r="J7">
        <v>62</v>
      </c>
      <c r="K7" t="s">
        <v>440</v>
      </c>
      <c r="L7" t="s">
        <v>443</v>
      </c>
      <c r="M7" t="s">
        <v>51</v>
      </c>
      <c r="N7" s="10">
        <f>IF(A7="","",IF(I7&lt;&gt;"","Finished",IF(AND(F7&lt;&gt;"",TODAY()&gt;F7),"Late","Open")))</f>
      </c>
      <c r="O7" s="10">
        <f>IF(OR(A7="",G7="",F7=""),"",F7-G7)</f>
      </c>
    </row>
    <row r="8" spans="1:15" x14ac:dyDescent="0.25">
      <c r="A8" t="s">
        <v>447</v>
      </c>
      <c r="B8" t="s">
        <v>448</v>
      </c>
      <c r="C8" t="s">
        <v>54</v>
      </c>
      <c r="D8" t="s">
        <v>446</v>
      </c>
      <c r="E8" s="8">
        <v>46328</v>
      </c>
      <c r="F8" s="8">
        <v>46353</v>
      </c>
      <c r="J8">
        <v>0</v>
      </c>
      <c r="K8" t="s">
        <v>440</v>
      </c>
      <c r="L8" t="s">
        <v>443</v>
      </c>
      <c r="M8" t="s">
        <v>53</v>
      </c>
      <c r="N8" s="10">
        <f>IF(A8="","",IF(I8&lt;&gt;"","Finished",IF(AND(F8&lt;&gt;"",TODAY()&gt;F8),"Late","Open")))</f>
      </c>
      <c r="O8" s="10">
        <f>IF(OR(A8="",G8="",F8=""),"",F8-G8)</f>
      </c>
    </row>
    <row r="9" spans="1:15" x14ac:dyDescent="0.25">
      <c r="A9" t="s">
        <v>449</v>
      </c>
      <c r="B9" t="s">
        <v>450</v>
      </c>
      <c r="C9" t="s">
        <v>451</v>
      </c>
      <c r="D9" t="s">
        <v>446</v>
      </c>
      <c r="E9" s="8">
        <v>46353</v>
      </c>
      <c r="F9" s="8">
        <v>46353</v>
      </c>
      <c r="J9">
        <v>0</v>
      </c>
      <c r="K9" t="s">
        <v>443</v>
      </c>
      <c r="L9" t="s">
        <v>443</v>
      </c>
      <c r="N9" s="10">
        <f>IF(A9="","",IF(I9&lt;&gt;"","Finished",IF(AND(F9&lt;&gt;"",TODAY()&gt;F9),"Late","Open")))</f>
      </c>
      <c r="O9" s="10">
        <f>IF(OR(A9="",G9="",F9=""),"",F9-G9)</f>
      </c>
    </row>
    <row r="10" spans="1:15" x14ac:dyDescent="0.25">
      <c r="N10" s="10">
        <f>IF(A10="","",IF(I10&lt;&gt;"","Finished",IF(AND(F10&lt;&gt;"",TODAY()&gt;F10),"Late","Open")))</f>
      </c>
      <c r="O10" s="10">
        <f>IF(OR(A10="",G10="",F10=""),"",F10-G10)</f>
      </c>
    </row>
    <row r="11" spans="1:15" x14ac:dyDescent="0.25">
      <c r="N11" s="10">
        <f>IF(A11="","",IF(I11&lt;&gt;"","Finished",IF(AND(F11&lt;&gt;"",TODAY()&gt;F11),"Late","Open")))</f>
      </c>
      <c r="O11" s="10">
        <f>IF(OR(A11="",G11="",F11=""),"",F11-G11)</f>
      </c>
    </row>
    <row r="12" spans="1:15" x14ac:dyDescent="0.25">
      <c r="N12" s="10">
        <f>IF(A12="","",IF(I12&lt;&gt;"","Finished",IF(AND(F12&lt;&gt;"",TODAY()&gt;F12),"Late","Open")))</f>
      </c>
      <c r="O12" s="10">
        <f>IF(OR(A12="",G12="",F12=""),"",F12-G12)</f>
      </c>
    </row>
    <row r="13" spans="1:15" x14ac:dyDescent="0.25">
      <c r="N13" s="10">
        <f>IF(A13="","",IF(I13&lt;&gt;"","Finished",IF(AND(F13&lt;&gt;"",TODAY()&gt;F13),"Late","Open")))</f>
      </c>
      <c r="O13" s="10">
        <f>IF(OR(A13="",G13="",F13=""),"",F13-G13)</f>
      </c>
    </row>
    <row r="14" spans="1:15" x14ac:dyDescent="0.25">
      <c r="N14" s="10">
        <f>IF(A14="","",IF(I14&lt;&gt;"","Finished",IF(AND(F14&lt;&gt;"",TODAY()&gt;F14),"Late","Open")))</f>
      </c>
      <c r="O14" s="10">
        <f>IF(OR(A14="",G14="",F14=""),"",F14-G14)</f>
      </c>
    </row>
    <row r="15" spans="1:15" x14ac:dyDescent="0.25">
      <c r="N15" s="10">
        <f>IF(A15="","",IF(I15&lt;&gt;"","Finished",IF(AND(F15&lt;&gt;"",TODAY()&gt;F15),"Late","Open")))</f>
      </c>
      <c r="O15" s="10">
        <f>IF(OR(A15="",G15="",F15=""),"",F15-G15)</f>
      </c>
    </row>
    <row r="16" spans="1:15" x14ac:dyDescent="0.25">
      <c r="N16" s="10">
        <f>IF(A16="","",IF(I16&lt;&gt;"","Finished",IF(AND(F16&lt;&gt;"",TODAY()&gt;F16),"Late","Open")))</f>
      </c>
      <c r="O16" s="10">
        <f>IF(OR(A16="",G16="",F16=""),"",F16-G16)</f>
      </c>
    </row>
    <row r="17" spans="1:15" x14ac:dyDescent="0.25">
      <c r="N17" s="10">
        <f>IF(A17="","",IF(I17&lt;&gt;"","Finished",IF(AND(F17&lt;&gt;"",TODAY()&gt;F17),"Late","Open")))</f>
      </c>
      <c r="O17" s="10">
        <f>IF(OR(A17="",G17="",F17=""),"",F17-G17)</f>
      </c>
    </row>
    <row r="18" spans="1:15" x14ac:dyDescent="0.25">
      <c r="N18" s="10">
        <f>IF(A18="","",IF(I18&lt;&gt;"","Finished",IF(AND(F18&lt;&gt;"",TODAY()&gt;F18),"Late","Open")))</f>
      </c>
      <c r="O18" s="10">
        <f>IF(OR(A18="",G18="",F18=""),"",F18-G18)</f>
      </c>
    </row>
    <row r="19" spans="1:15" x14ac:dyDescent="0.25">
      <c r="N19" s="10">
        <f>IF(A19="","",IF(I19&lt;&gt;"","Finished",IF(AND(F19&lt;&gt;"",TODAY()&gt;F19),"Late","Open")))</f>
      </c>
      <c r="O19" s="10">
        <f>IF(OR(A19="",G19="",F19=""),"",F19-G19)</f>
      </c>
    </row>
    <row r="20" spans="1:15" x14ac:dyDescent="0.25">
      <c r="N20" s="10">
        <f>IF(A20="","",IF(I20&lt;&gt;"","Finished",IF(AND(F20&lt;&gt;"",TODAY()&gt;F20),"Late","Open")))</f>
      </c>
      <c r="O20" s="10">
        <f>IF(OR(A20="",G20="",F20=""),"",F20-G20)</f>
      </c>
    </row>
    <row r="21" spans="1:15" x14ac:dyDescent="0.25">
      <c r="N21" s="10">
        <f>IF(A21="","",IF(I21&lt;&gt;"","Finished",IF(AND(F21&lt;&gt;"",TODAY()&gt;F21),"Late","Open")))</f>
      </c>
      <c r="O21" s="10">
        <f>IF(OR(A21="",G21="",F21=""),"",F21-G21)</f>
      </c>
    </row>
    <row r="22" spans="1:15" x14ac:dyDescent="0.25">
      <c r="N22" s="10">
        <f>IF(A22="","",IF(I22&lt;&gt;"","Finished",IF(AND(F22&lt;&gt;"",TODAY()&gt;F22),"Late","Open")))</f>
      </c>
      <c r="O22" s="10">
        <f>IF(OR(A22="",G22="",F22=""),"",F22-G22)</f>
      </c>
    </row>
    <row r="23" spans="1:15" x14ac:dyDescent="0.25">
      <c r="N23" s="10">
        <f>IF(A23="","",IF(I23&lt;&gt;"","Finished",IF(AND(F23&lt;&gt;"",TODAY()&gt;F23),"Late","Open")))</f>
      </c>
      <c r="O23" s="10">
        <f>IF(OR(A23="",G23="",F23=""),"",F23-G23)</f>
      </c>
    </row>
    <row r="24" spans="1:15" x14ac:dyDescent="0.25">
      <c r="N24" s="10">
        <f>IF(A24="","",IF(I24&lt;&gt;"","Finished",IF(AND(F24&lt;&gt;"",TODAY()&gt;F24),"Late","Open")))</f>
      </c>
      <c r="O24" s="10">
        <f>IF(OR(A24="",G24="",F24=""),"",F24-G24)</f>
      </c>
    </row>
    <row r="25" spans="1:15" x14ac:dyDescent="0.25">
      <c r="N25" s="10">
        <f>IF(A25="","",IF(I25&lt;&gt;"","Finished",IF(AND(F25&lt;&gt;"",TODAY()&gt;F25),"Late","Open")))</f>
      </c>
      <c r="O25" s="10">
        <f>IF(OR(A25="",G25="",F25=""),"",F25-G25)</f>
      </c>
    </row>
    <row r="26" spans="1:15" x14ac:dyDescent="0.25">
      <c r="N26" s="10">
        <f>IF(A26="","",IF(I26&lt;&gt;"","Finished",IF(AND(F26&lt;&gt;"",TODAY()&gt;F26),"Late","Open")))</f>
      </c>
      <c r="O26" s="10">
        <f>IF(OR(A26="",G26="",F26=""),"",F26-G26)</f>
      </c>
    </row>
    <row r="27" spans="1:15" x14ac:dyDescent="0.25">
      <c r="N27" s="10">
        <f>IF(A27="","",IF(I27&lt;&gt;"","Finished",IF(AND(F27&lt;&gt;"",TODAY()&gt;F27),"Late","Open")))</f>
      </c>
      <c r="O27" s="10">
        <f>IF(OR(A27="",G27="",F27=""),"",F27-G27)</f>
      </c>
    </row>
    <row r="28" spans="1:15" x14ac:dyDescent="0.25">
      <c r="N28" s="10">
        <f>IF(A28="","",IF(I28&lt;&gt;"","Finished",IF(AND(F28&lt;&gt;"",TODAY()&gt;F28),"Late","Open")))</f>
      </c>
      <c r="O28" s="10">
        <f>IF(OR(A28="",G28="",F28=""),"",F28-G28)</f>
      </c>
    </row>
    <row r="29" spans="1:15" x14ac:dyDescent="0.25">
      <c r="N29" s="10">
        <f>IF(A29="","",IF(I29&lt;&gt;"","Finished",IF(AND(F29&lt;&gt;"",TODAY()&gt;F29),"Late","Open")))</f>
      </c>
      <c r="O29" s="10">
        <f>IF(OR(A29="",G29="",F29=""),"",F29-G29)</f>
      </c>
    </row>
    <row r="30" spans="1:15" x14ac:dyDescent="0.25">
      <c r="N30" s="10">
        <f>IF(A30="","",IF(I30&lt;&gt;"","Finished",IF(AND(F30&lt;&gt;"",TODAY()&gt;F30),"Late","Open")))</f>
      </c>
      <c r="O30" s="10">
        <f>IF(OR(A30="",G30="",F30=""),"",F30-G30)</f>
      </c>
    </row>
    <row r="31" spans="1:15" x14ac:dyDescent="0.25">
      <c r="N31" s="10">
        <f>IF(A31="","",IF(I31&lt;&gt;"","Finished",IF(AND(F31&lt;&gt;"",TODAY()&gt;F31),"Late","Open")))</f>
      </c>
      <c r="O31" s="10">
        <f>IF(OR(A31="",G31="",F31=""),"",F31-G31)</f>
      </c>
    </row>
    <row r="32" spans="1:15" x14ac:dyDescent="0.25">
      <c r="N32" s="10">
        <f>IF(A32="","",IF(I32&lt;&gt;"","Finished",IF(AND(F32&lt;&gt;"",TODAY()&gt;F32),"Late","Open")))</f>
      </c>
      <c r="O32" s="10">
        <f>IF(OR(A32="",G32="",F32=""),"",F32-G32)</f>
      </c>
    </row>
    <row r="33" spans="1:15" x14ac:dyDescent="0.25">
      <c r="N33" s="10">
        <f>IF(A33="","",IF(I33&lt;&gt;"","Finished",IF(AND(F33&lt;&gt;"",TODAY()&gt;F33),"Late","Open")))</f>
      </c>
      <c r="O33" s="10">
        <f>IF(OR(A33="",G33="",F33=""),"",F33-G33)</f>
      </c>
    </row>
    <row r="34" spans="1:15" x14ac:dyDescent="0.25">
      <c r="N34" s="10">
        <f>IF(A34="","",IF(I34&lt;&gt;"","Finished",IF(AND(F34&lt;&gt;"",TODAY()&gt;F34),"Late","Open")))</f>
      </c>
      <c r="O34" s="10">
        <f>IF(OR(A34="",G34="",F34=""),"",F34-G34)</f>
      </c>
    </row>
    <row r="35" spans="1:15" x14ac:dyDescent="0.25">
      <c r="N35" s="10">
        <f>IF(A35="","",IF(I35&lt;&gt;"","Finished",IF(AND(F35&lt;&gt;"",TODAY()&gt;F35),"Late","Open")))</f>
      </c>
      <c r="O35" s="10">
        <f>IF(OR(A35="",G35="",F35=""),"",F35-G35)</f>
      </c>
    </row>
    <row r="36" spans="1:15" x14ac:dyDescent="0.25">
      <c r="N36" s="10">
        <f>IF(A36="","",IF(I36&lt;&gt;"","Finished",IF(AND(F36&lt;&gt;"",TODAY()&gt;F36),"Late","Open")))</f>
      </c>
      <c r="O36" s="10">
        <f>IF(OR(A36="",G36="",F36=""),"",F36-G36)</f>
      </c>
    </row>
    <row r="37" spans="1:15" x14ac:dyDescent="0.25">
      <c r="N37" s="10">
        <f>IF(A37="","",IF(I37&lt;&gt;"","Finished",IF(AND(F37&lt;&gt;"",TODAY()&gt;F37),"Late","Open")))</f>
      </c>
      <c r="O37" s="10">
        <f>IF(OR(A37="",G37="",F37=""),"",F37-G37)</f>
      </c>
    </row>
    <row r="38" spans="1:15" x14ac:dyDescent="0.25">
      <c r="N38" s="10">
        <f>IF(A38="","",IF(I38&lt;&gt;"","Finished",IF(AND(F38&lt;&gt;"",TODAY()&gt;F38),"Late","Open")))</f>
      </c>
      <c r="O38" s="10">
        <f>IF(OR(A38="",G38="",F38=""),"",F38-G38)</f>
      </c>
    </row>
    <row r="39" spans="1:15" x14ac:dyDescent="0.25">
      <c r="N39" s="10">
        <f>IF(A39="","",IF(I39&lt;&gt;"","Finished",IF(AND(F39&lt;&gt;"",TODAY()&gt;F39),"Late","Open")))</f>
      </c>
      <c r="O39" s="10">
        <f>IF(OR(A39="",G39="",F39=""),"",F39-G39)</f>
      </c>
    </row>
    <row r="40" spans="1:15" x14ac:dyDescent="0.25">
      <c r="N40" s="10">
        <f>IF(A40="","",IF(I40&lt;&gt;"","Finished",IF(AND(F40&lt;&gt;"",TODAY()&gt;F40),"Late","Open")))</f>
      </c>
      <c r="O40" s="10">
        <f>IF(OR(A40="",G40="",F40=""),"",F40-G40)</f>
      </c>
    </row>
    <row r="41" spans="1:15" x14ac:dyDescent="0.25">
      <c r="N41" s="10">
        <f>IF(A41="","",IF(I41&lt;&gt;"","Finished",IF(AND(F41&lt;&gt;"",TODAY()&gt;F41),"Late","Open")))</f>
      </c>
      <c r="O41" s="10">
        <f>IF(OR(A41="",G41="",F41=""),"",F41-G41)</f>
      </c>
    </row>
    <row r="42" spans="1:15" x14ac:dyDescent="0.25">
      <c r="N42" s="10">
        <f>IF(A42="","",IF(I42&lt;&gt;"","Finished",IF(AND(F42&lt;&gt;"",TODAY()&gt;F42),"Late","Open")))</f>
      </c>
      <c r="O42" s="10">
        <f>IF(OR(A42="",G42="",F42=""),"",F42-G42)</f>
      </c>
    </row>
    <row r="43" spans="1:15" x14ac:dyDescent="0.25">
      <c r="N43" s="10">
        <f>IF(A43="","",IF(I43&lt;&gt;"","Finished",IF(AND(F43&lt;&gt;"",TODAY()&gt;F43),"Late","Open")))</f>
      </c>
      <c r="O43" s="10">
        <f>IF(OR(A43="",G43="",F43=""),"",F43-G43)</f>
      </c>
    </row>
    <row r="44" spans="1:15" x14ac:dyDescent="0.25">
      <c r="N44" s="10">
        <f>IF(A44="","",IF(I44&lt;&gt;"","Finished",IF(AND(F44&lt;&gt;"",TODAY()&gt;F44),"Late","Open")))</f>
      </c>
      <c r="O44" s="10">
        <f>IF(OR(A44="",G44="",F44=""),"",F44-G44)</f>
      </c>
    </row>
    <row r="45" spans="1:15" x14ac:dyDescent="0.25">
      <c r="N45" s="10">
        <f>IF(A45="","",IF(I45&lt;&gt;"","Finished",IF(AND(F45&lt;&gt;"",TODAY()&gt;F45),"Late","Open")))</f>
      </c>
      <c r="O45" s="10">
        <f>IF(OR(A45="",G45="",F45=""),"",F45-G45)</f>
      </c>
    </row>
    <row r="46" spans="1:15" x14ac:dyDescent="0.25">
      <c r="N46" s="10">
        <f>IF(A46="","",IF(I46&lt;&gt;"","Finished",IF(AND(F46&lt;&gt;"",TODAY()&gt;F46),"Late","Open")))</f>
      </c>
      <c r="O46" s="10">
        <f>IF(OR(A46="",G46="",F46=""),"",F46-G46)</f>
      </c>
    </row>
    <row r="47" spans="1:15" x14ac:dyDescent="0.25">
      <c r="N47" s="10">
        <f>IF(A47="","",IF(I47&lt;&gt;"","Finished",IF(AND(F47&lt;&gt;"",TODAY()&gt;F47),"Late","Open")))</f>
      </c>
      <c r="O47" s="10">
        <f>IF(OR(A47="",G47="",F47=""),"",F47-G47)</f>
      </c>
    </row>
    <row r="48" spans="1:15" x14ac:dyDescent="0.25">
      <c r="N48" s="10">
        <f>IF(A48="","",IF(I48&lt;&gt;"","Finished",IF(AND(F48&lt;&gt;"",TODAY()&gt;F48),"Late","Open")))</f>
      </c>
      <c r="O48" s="10">
        <f>IF(OR(A48="",G48="",F48=""),"",F48-G48)</f>
      </c>
    </row>
    <row r="49" spans="1:15" x14ac:dyDescent="0.25">
      <c r="N49" s="10">
        <f>IF(A49="","",IF(I49&lt;&gt;"","Finished",IF(AND(F49&lt;&gt;"",TODAY()&gt;F49),"Late","Open")))</f>
      </c>
      <c r="O49" s="10">
        <f>IF(OR(A49="",G49="",F49=""),"",F49-G49)</f>
      </c>
    </row>
    <row r="51" spans="1:1" s="2" customFormat="1" x14ac:dyDescent="0.25">
      <c r="A51" s="2" t="s">
        <v>32</v>
      </c>
    </row>
  </sheetData>
  <dataValidations count="2">
    <dataValidation type="list" allowBlank="1" sqref="K10:L49">
      <formula1>"No,Yes"</formula1>
    </dataValidation>
    <dataValidation type="list" allowBlank="1" sqref="K5:L49">
      <formula1>"No,Yes"</formula1>
    </dataValidation>
  </dataValidations>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workbookViewId="0">
      <pane xSplit="1" ySplit="4" topLeftCell="B5" activePane="bottomRight" state="frozen"/>
      <selection pane="bottomRight"/>
    </sheetView>
  </sheetViews>
  <sheetFormatPr defaultRowHeight="15" outlineLevelRow="0" outlineLevelCol="0" x14ac:dyDescent="55"/>
  <cols>
    <col min="1" max="1" width="12" customWidth="1"/>
    <col min="2" max="3" width="11" customWidth="1"/>
    <col min="4" max="4" width="22" customWidth="1"/>
    <col min="5" max="5" width="14" customWidth="1"/>
    <col min="6" max="6" width="11" customWidth="1"/>
    <col min="7" max="8" width="12" customWidth="1"/>
    <col min="9" max="11" width="11" customWidth="1"/>
    <col min="12" max="12" width="15" customWidth="1"/>
    <col min="13" max="14" width="11" customWidth="1"/>
    <col min="15" max="15" width="17" customWidth="1"/>
    <col min="16" max="17" width="13" customWidth="1"/>
  </cols>
  <sheetData>
    <row r="1" spans="1:1" s="1" customFormat="1" x14ac:dyDescent="0.25">
      <c r="A1" s="1" t="s">
        <v>452</v>
      </c>
    </row>
    <row r="2" spans="1:1" s="2" customFormat="1" x14ac:dyDescent="0.25">
      <c r="A2" s="2" t="s">
        <v>453</v>
      </c>
    </row>
    <row r="4" spans="1:17" s="3" customFormat="1" x14ac:dyDescent="0.25">
      <c r="A4" s="7" t="s">
        <v>454</v>
      </c>
      <c r="B4" s="7" t="s">
        <v>121</v>
      </c>
      <c r="C4" s="7" t="s">
        <v>455</v>
      </c>
      <c r="D4" s="7" t="s">
        <v>456</v>
      </c>
      <c r="E4" s="7" t="s">
        <v>457</v>
      </c>
      <c r="F4" s="7" t="s">
        <v>458</v>
      </c>
      <c r="G4" s="7" t="s">
        <v>459</v>
      </c>
      <c r="H4" s="7" t="s">
        <v>460</v>
      </c>
      <c r="I4" s="7" t="s">
        <v>461</v>
      </c>
      <c r="J4" s="7" t="s">
        <v>462</v>
      </c>
      <c r="K4" s="7" t="s">
        <v>463</v>
      </c>
      <c r="L4" s="7" t="s">
        <v>464</v>
      </c>
      <c r="M4" s="7" t="s">
        <v>127</v>
      </c>
      <c r="N4" s="7" t="s">
        <v>69</v>
      </c>
      <c r="O4" s="7" t="s">
        <v>465</v>
      </c>
      <c r="P4" s="7" t="s">
        <v>466</v>
      </c>
      <c r="Q4" s="7" t="s">
        <v>467</v>
      </c>
    </row>
    <row r="5" spans="1:17" x14ac:dyDescent="0.25">
      <c r="A5" t="s">
        <v>468</v>
      </c>
      <c r="B5" t="s">
        <v>138</v>
      </c>
      <c r="C5" t="s">
        <v>137</v>
      </c>
      <c r="D5" t="s">
        <v>469</v>
      </c>
      <c r="E5" s="8">
        <v>46316</v>
      </c>
      <c r="F5" s="8">
        <v>46324</v>
      </c>
      <c r="G5" t="s">
        <v>470</v>
      </c>
      <c r="H5">
        <v>21375</v>
      </c>
      <c r="I5">
        <v>3206.25</v>
      </c>
      <c r="J5">
        <v>24581.25</v>
      </c>
      <c r="K5" t="s">
        <v>136</v>
      </c>
      <c r="L5" t="s">
        <v>471</v>
      </c>
      <c r="M5" t="s">
        <v>472</v>
      </c>
      <c r="O5" s="10">
        <f>IF(OR(A5="",I5=""),"",IF(ABS(I5-ROUND(H5*0.15,2))&lt;=0.01,"OK","Check the GST"))</f>
      </c>
      <c r="P5" s="10">
        <f>IF(OR(A5="",J5=""),"",IF(ABS(J5-H5-N(I5))&lt;=0.01,"OK","Check the total"))</f>
      </c>
      <c r="Q5" s="10">
        <f>IF(A5="","",IF(COUNTIF('Procurement'!$A:$A,B5)&gt;0,"Yes","Not in Procurement"))</f>
      </c>
    </row>
    <row r="6" spans="1:17" x14ac:dyDescent="0.25">
      <c r="A6" t="s">
        <v>473</v>
      </c>
      <c r="B6" t="s">
        <v>230</v>
      </c>
      <c r="C6" t="s">
        <v>232</v>
      </c>
      <c r="D6" t="s">
        <v>474</v>
      </c>
      <c r="E6" s="8">
        <v>46320</v>
      </c>
      <c r="F6" s="8">
        <v>46346</v>
      </c>
      <c r="H6">
        <v>14200</v>
      </c>
      <c r="I6">
        <v>2130</v>
      </c>
      <c r="J6">
        <v>16330</v>
      </c>
      <c r="L6" t="s">
        <v>475</v>
      </c>
      <c r="M6" t="s">
        <v>476</v>
      </c>
      <c r="O6" s="10">
        <f>IF(OR(A6="",I6=""),"",IF(ABS(I6-ROUND(H6*0.15,2))&lt;=0.01,"OK","Check the GST"))</f>
      </c>
      <c r="P6" s="10">
        <f>IF(OR(A6="",J6=""),"",IF(ABS(J6-H6-N(I6))&lt;=0.01,"OK","Check the total"))</f>
      </c>
      <c r="Q6" s="10">
        <f>IF(A6="","",IF(COUNTIF('Procurement'!$A:$A,B6)&gt;0,"Yes","Not in Procurement"))</f>
      </c>
    </row>
    <row r="7" spans="1:17" x14ac:dyDescent="0.25">
      <c r="O7" s="10">
        <f>IF(OR(A7="",I7=""),"",IF(ABS(I7-ROUND(H7*0.15,2))&lt;=0.01,"OK","Check the GST"))</f>
      </c>
      <c r="P7" s="10">
        <f>IF(OR(A7="",J7=""),"",IF(ABS(J7-H7-N(I7))&lt;=0.01,"OK","Check the total"))</f>
      </c>
      <c r="Q7" s="10">
        <f>IF(A7="","",IF(COUNTIF('Procurement'!$A:$A,B7)&gt;0,"Yes","Not in Procurement"))</f>
      </c>
    </row>
    <row r="8" spans="1:17" x14ac:dyDescent="0.25">
      <c r="O8" s="10">
        <f>IF(OR(A8="",I8=""),"",IF(ABS(I8-ROUND(H8*0.15,2))&lt;=0.01,"OK","Check the GST"))</f>
      </c>
      <c r="P8" s="10">
        <f>IF(OR(A8="",J8=""),"",IF(ABS(J8-H8-N(I8))&lt;=0.01,"OK","Check the total"))</f>
      </c>
      <c r="Q8" s="10">
        <f>IF(A8="","",IF(COUNTIF('Procurement'!$A:$A,B8)&gt;0,"Yes","Not in Procurement"))</f>
      </c>
    </row>
    <row r="9" spans="1:17" x14ac:dyDescent="0.25">
      <c r="O9" s="10">
        <f>IF(OR(A9="",I9=""),"",IF(ABS(I9-ROUND(H9*0.15,2))&lt;=0.01,"OK","Check the GST"))</f>
      </c>
      <c r="P9" s="10">
        <f>IF(OR(A9="",J9=""),"",IF(ABS(J9-H9-N(I9))&lt;=0.01,"OK","Check the total"))</f>
      </c>
      <c r="Q9" s="10">
        <f>IF(A9="","",IF(COUNTIF('Procurement'!$A:$A,B9)&gt;0,"Yes","Not in Procurement"))</f>
      </c>
    </row>
    <row r="10" spans="1:17" x14ac:dyDescent="0.25">
      <c r="O10" s="10">
        <f>IF(OR(A10="",I10=""),"",IF(ABS(I10-ROUND(H10*0.15,2))&lt;=0.01,"OK","Check the GST"))</f>
      </c>
      <c r="P10" s="10">
        <f>IF(OR(A10="",J10=""),"",IF(ABS(J10-H10-N(I10))&lt;=0.01,"OK","Check the total"))</f>
      </c>
      <c r="Q10" s="10">
        <f>IF(A10="","",IF(COUNTIF('Procurement'!$A:$A,B10)&gt;0,"Yes","Not in Procurement"))</f>
      </c>
    </row>
    <row r="11" spans="1:17" x14ac:dyDescent="0.25">
      <c r="O11" s="10">
        <f>IF(OR(A11="",I11=""),"",IF(ABS(I11-ROUND(H11*0.15,2))&lt;=0.01,"OK","Check the GST"))</f>
      </c>
      <c r="P11" s="10">
        <f>IF(OR(A11="",J11=""),"",IF(ABS(J11-H11-N(I11))&lt;=0.01,"OK","Check the total"))</f>
      </c>
      <c r="Q11" s="10">
        <f>IF(A11="","",IF(COUNTIF('Procurement'!$A:$A,B11)&gt;0,"Yes","Not in Procurement"))</f>
      </c>
    </row>
    <row r="12" spans="1:17" x14ac:dyDescent="0.25">
      <c r="O12" s="10">
        <f>IF(OR(A12="",I12=""),"",IF(ABS(I12-ROUND(H12*0.15,2))&lt;=0.01,"OK","Check the GST"))</f>
      </c>
      <c r="P12" s="10">
        <f>IF(OR(A12="",J12=""),"",IF(ABS(J12-H12-N(I12))&lt;=0.01,"OK","Check the total"))</f>
      </c>
      <c r="Q12" s="10">
        <f>IF(A12="","",IF(COUNTIF('Procurement'!$A:$A,B12)&gt;0,"Yes","Not in Procurement"))</f>
      </c>
    </row>
    <row r="13" spans="1:17" x14ac:dyDescent="0.25">
      <c r="O13" s="10">
        <f>IF(OR(A13="",I13=""),"",IF(ABS(I13-ROUND(H13*0.15,2))&lt;=0.01,"OK","Check the GST"))</f>
      </c>
      <c r="P13" s="10">
        <f>IF(OR(A13="",J13=""),"",IF(ABS(J13-H13-N(I13))&lt;=0.01,"OK","Check the total"))</f>
      </c>
      <c r="Q13" s="10">
        <f>IF(A13="","",IF(COUNTIF('Procurement'!$A:$A,B13)&gt;0,"Yes","Not in Procurement"))</f>
      </c>
    </row>
    <row r="14" spans="1:17" x14ac:dyDescent="0.25">
      <c r="O14" s="10">
        <f>IF(OR(A14="",I14=""),"",IF(ABS(I14-ROUND(H14*0.15,2))&lt;=0.01,"OK","Check the GST"))</f>
      </c>
      <c r="P14" s="10">
        <f>IF(OR(A14="",J14=""),"",IF(ABS(J14-H14-N(I14))&lt;=0.01,"OK","Check the total"))</f>
      </c>
      <c r="Q14" s="10">
        <f>IF(A14="","",IF(COUNTIF('Procurement'!$A:$A,B14)&gt;0,"Yes","Not in Procurement"))</f>
      </c>
    </row>
    <row r="15" spans="1:17" x14ac:dyDescent="0.25">
      <c r="O15" s="10">
        <f>IF(OR(A15="",I15=""),"",IF(ABS(I15-ROUND(H15*0.15,2))&lt;=0.01,"OK","Check the GST"))</f>
      </c>
      <c r="P15" s="10">
        <f>IF(OR(A15="",J15=""),"",IF(ABS(J15-H15-N(I15))&lt;=0.01,"OK","Check the total"))</f>
      </c>
      <c r="Q15" s="10">
        <f>IF(A15="","",IF(COUNTIF('Procurement'!$A:$A,B15)&gt;0,"Yes","Not in Procurement"))</f>
      </c>
    </row>
    <row r="16" spans="1:17" x14ac:dyDescent="0.25">
      <c r="O16" s="10">
        <f>IF(OR(A16="",I16=""),"",IF(ABS(I16-ROUND(H16*0.15,2))&lt;=0.01,"OK","Check the GST"))</f>
      </c>
      <c r="P16" s="10">
        <f>IF(OR(A16="",J16=""),"",IF(ABS(J16-H16-N(I16))&lt;=0.01,"OK","Check the total"))</f>
      </c>
      <c r="Q16" s="10">
        <f>IF(A16="","",IF(COUNTIF('Procurement'!$A:$A,B16)&gt;0,"Yes","Not in Procurement"))</f>
      </c>
    </row>
    <row r="17" spans="1:17" x14ac:dyDescent="0.25">
      <c r="O17" s="10">
        <f>IF(OR(A17="",I17=""),"",IF(ABS(I17-ROUND(H17*0.15,2))&lt;=0.01,"OK","Check the GST"))</f>
      </c>
      <c r="P17" s="10">
        <f>IF(OR(A17="",J17=""),"",IF(ABS(J17-H17-N(I17))&lt;=0.01,"OK","Check the total"))</f>
      </c>
      <c r="Q17" s="10">
        <f>IF(A17="","",IF(COUNTIF('Procurement'!$A:$A,B17)&gt;0,"Yes","Not in Procurement"))</f>
      </c>
    </row>
    <row r="18" spans="1:17" x14ac:dyDescent="0.25">
      <c r="O18" s="10">
        <f>IF(OR(A18="",I18=""),"",IF(ABS(I18-ROUND(H18*0.15,2))&lt;=0.01,"OK","Check the GST"))</f>
      </c>
      <c r="P18" s="10">
        <f>IF(OR(A18="",J18=""),"",IF(ABS(J18-H18-N(I18))&lt;=0.01,"OK","Check the total"))</f>
      </c>
      <c r="Q18" s="10">
        <f>IF(A18="","",IF(COUNTIF('Procurement'!$A:$A,B18)&gt;0,"Yes","Not in Procurement"))</f>
      </c>
    </row>
    <row r="19" spans="1:17" x14ac:dyDescent="0.25">
      <c r="O19" s="10">
        <f>IF(OR(A19="",I19=""),"",IF(ABS(I19-ROUND(H19*0.15,2))&lt;=0.01,"OK","Check the GST"))</f>
      </c>
      <c r="P19" s="10">
        <f>IF(OR(A19="",J19=""),"",IF(ABS(J19-H19-N(I19))&lt;=0.01,"OK","Check the total"))</f>
      </c>
      <c r="Q19" s="10">
        <f>IF(A19="","",IF(COUNTIF('Procurement'!$A:$A,B19)&gt;0,"Yes","Not in Procurement"))</f>
      </c>
    </row>
    <row r="20" spans="1:17" x14ac:dyDescent="0.25">
      <c r="O20" s="10">
        <f>IF(OR(A20="",I20=""),"",IF(ABS(I20-ROUND(H20*0.15,2))&lt;=0.01,"OK","Check the GST"))</f>
      </c>
      <c r="P20" s="10">
        <f>IF(OR(A20="",J20=""),"",IF(ABS(J20-H20-N(I20))&lt;=0.01,"OK","Check the total"))</f>
      </c>
      <c r="Q20" s="10">
        <f>IF(A20="","",IF(COUNTIF('Procurement'!$A:$A,B20)&gt;0,"Yes","Not in Procurement"))</f>
      </c>
    </row>
    <row r="21" spans="1:17" x14ac:dyDescent="0.25">
      <c r="O21" s="10">
        <f>IF(OR(A21="",I21=""),"",IF(ABS(I21-ROUND(H21*0.15,2))&lt;=0.01,"OK","Check the GST"))</f>
      </c>
      <c r="P21" s="10">
        <f>IF(OR(A21="",J21=""),"",IF(ABS(J21-H21-N(I21))&lt;=0.01,"OK","Check the total"))</f>
      </c>
      <c r="Q21" s="10">
        <f>IF(A21="","",IF(COUNTIF('Procurement'!$A:$A,B21)&gt;0,"Yes","Not in Procurement"))</f>
      </c>
    </row>
    <row r="22" spans="1:17" x14ac:dyDescent="0.25">
      <c r="O22" s="10">
        <f>IF(OR(A22="",I22=""),"",IF(ABS(I22-ROUND(H22*0.15,2))&lt;=0.01,"OK","Check the GST"))</f>
      </c>
      <c r="P22" s="10">
        <f>IF(OR(A22="",J22=""),"",IF(ABS(J22-H22-N(I22))&lt;=0.01,"OK","Check the total"))</f>
      </c>
      <c r="Q22" s="10">
        <f>IF(A22="","",IF(COUNTIF('Procurement'!$A:$A,B22)&gt;0,"Yes","Not in Procurement"))</f>
      </c>
    </row>
    <row r="23" spans="1:17" x14ac:dyDescent="0.25">
      <c r="O23" s="10">
        <f>IF(OR(A23="",I23=""),"",IF(ABS(I23-ROUND(H23*0.15,2))&lt;=0.01,"OK","Check the GST"))</f>
      </c>
      <c r="P23" s="10">
        <f>IF(OR(A23="",J23=""),"",IF(ABS(J23-H23-N(I23))&lt;=0.01,"OK","Check the total"))</f>
      </c>
      <c r="Q23" s="10">
        <f>IF(A23="","",IF(COUNTIF('Procurement'!$A:$A,B23)&gt;0,"Yes","Not in Procurement"))</f>
      </c>
    </row>
    <row r="24" spans="1:17" x14ac:dyDescent="0.25">
      <c r="O24" s="10">
        <f>IF(OR(A24="",I24=""),"",IF(ABS(I24-ROUND(H24*0.15,2))&lt;=0.01,"OK","Check the GST"))</f>
      </c>
      <c r="P24" s="10">
        <f>IF(OR(A24="",J24=""),"",IF(ABS(J24-H24-N(I24))&lt;=0.01,"OK","Check the total"))</f>
      </c>
      <c r="Q24" s="10">
        <f>IF(A24="","",IF(COUNTIF('Procurement'!$A:$A,B24)&gt;0,"Yes","Not in Procurement"))</f>
      </c>
    </row>
    <row r="25" spans="1:17" x14ac:dyDescent="0.25">
      <c r="O25" s="10">
        <f>IF(OR(A25="",I25=""),"",IF(ABS(I25-ROUND(H25*0.15,2))&lt;=0.01,"OK","Check the GST"))</f>
      </c>
      <c r="P25" s="10">
        <f>IF(OR(A25="",J25=""),"",IF(ABS(J25-H25-N(I25))&lt;=0.01,"OK","Check the total"))</f>
      </c>
      <c r="Q25" s="10">
        <f>IF(A25="","",IF(COUNTIF('Procurement'!$A:$A,B25)&gt;0,"Yes","Not in Procurement"))</f>
      </c>
    </row>
    <row r="26" spans="1:17" x14ac:dyDescent="0.25">
      <c r="O26" s="10">
        <f>IF(OR(A26="",I26=""),"",IF(ABS(I26-ROUND(H26*0.15,2))&lt;=0.01,"OK","Check the GST"))</f>
      </c>
      <c r="P26" s="10">
        <f>IF(OR(A26="",J26=""),"",IF(ABS(J26-H26-N(I26))&lt;=0.01,"OK","Check the total"))</f>
      </c>
      <c r="Q26" s="10">
        <f>IF(A26="","",IF(COUNTIF('Procurement'!$A:$A,B26)&gt;0,"Yes","Not in Procurement"))</f>
      </c>
    </row>
    <row r="27" spans="1:17" x14ac:dyDescent="0.25">
      <c r="O27" s="10">
        <f>IF(OR(A27="",I27=""),"",IF(ABS(I27-ROUND(H27*0.15,2))&lt;=0.01,"OK","Check the GST"))</f>
      </c>
      <c r="P27" s="10">
        <f>IF(OR(A27="",J27=""),"",IF(ABS(J27-H27-N(I27))&lt;=0.01,"OK","Check the total"))</f>
      </c>
      <c r="Q27" s="10">
        <f>IF(A27="","",IF(COUNTIF('Procurement'!$A:$A,B27)&gt;0,"Yes","Not in Procurement"))</f>
      </c>
    </row>
    <row r="28" spans="1:17" x14ac:dyDescent="0.25">
      <c r="O28" s="10">
        <f>IF(OR(A28="",I28=""),"",IF(ABS(I28-ROUND(H28*0.15,2))&lt;=0.01,"OK","Check the GST"))</f>
      </c>
      <c r="P28" s="10">
        <f>IF(OR(A28="",J28=""),"",IF(ABS(J28-H28-N(I28))&lt;=0.01,"OK","Check the total"))</f>
      </c>
      <c r="Q28" s="10">
        <f>IF(A28="","",IF(COUNTIF('Procurement'!$A:$A,B28)&gt;0,"Yes","Not in Procurement"))</f>
      </c>
    </row>
    <row r="29" spans="1:17" x14ac:dyDescent="0.25">
      <c r="O29" s="10">
        <f>IF(OR(A29="",I29=""),"",IF(ABS(I29-ROUND(H29*0.15,2))&lt;=0.01,"OK","Check the GST"))</f>
      </c>
      <c r="P29" s="10">
        <f>IF(OR(A29="",J29=""),"",IF(ABS(J29-H29-N(I29))&lt;=0.01,"OK","Check the total"))</f>
      </c>
      <c r="Q29" s="10">
        <f>IF(A29="","",IF(COUNTIF('Procurement'!$A:$A,B29)&gt;0,"Yes","Not in Procurement"))</f>
      </c>
    </row>
    <row r="30" spans="1:17" x14ac:dyDescent="0.25">
      <c r="O30" s="10">
        <f>IF(OR(A30="",I30=""),"",IF(ABS(I30-ROUND(H30*0.15,2))&lt;=0.01,"OK","Check the GST"))</f>
      </c>
      <c r="P30" s="10">
        <f>IF(OR(A30="",J30=""),"",IF(ABS(J30-H30-N(I30))&lt;=0.01,"OK","Check the total"))</f>
      </c>
      <c r="Q30" s="10">
        <f>IF(A30="","",IF(COUNTIF('Procurement'!$A:$A,B30)&gt;0,"Yes","Not in Procurement"))</f>
      </c>
    </row>
    <row r="31" spans="1:17" x14ac:dyDescent="0.25">
      <c r="O31" s="10">
        <f>IF(OR(A31="",I31=""),"",IF(ABS(I31-ROUND(H31*0.15,2))&lt;=0.01,"OK","Check the GST"))</f>
      </c>
      <c r="P31" s="10">
        <f>IF(OR(A31="",J31=""),"",IF(ABS(J31-H31-N(I31))&lt;=0.01,"OK","Check the total"))</f>
      </c>
      <c r="Q31" s="10">
        <f>IF(A31="","",IF(COUNTIF('Procurement'!$A:$A,B31)&gt;0,"Yes","Not in Procurement"))</f>
      </c>
    </row>
    <row r="32" spans="1:17" x14ac:dyDescent="0.25">
      <c r="O32" s="10">
        <f>IF(OR(A32="",I32=""),"",IF(ABS(I32-ROUND(H32*0.15,2))&lt;=0.01,"OK","Check the GST"))</f>
      </c>
      <c r="P32" s="10">
        <f>IF(OR(A32="",J32=""),"",IF(ABS(J32-H32-N(I32))&lt;=0.01,"OK","Check the total"))</f>
      </c>
      <c r="Q32" s="10">
        <f>IF(A32="","",IF(COUNTIF('Procurement'!$A:$A,B32)&gt;0,"Yes","Not in Procurement"))</f>
      </c>
    </row>
    <row r="33" spans="1:17" x14ac:dyDescent="0.25">
      <c r="O33" s="10">
        <f>IF(OR(A33="",I33=""),"",IF(ABS(I33-ROUND(H33*0.15,2))&lt;=0.01,"OK","Check the GST"))</f>
      </c>
      <c r="P33" s="10">
        <f>IF(OR(A33="",J33=""),"",IF(ABS(J33-H33-N(I33))&lt;=0.01,"OK","Check the total"))</f>
      </c>
      <c r="Q33" s="10">
        <f>IF(A33="","",IF(COUNTIF('Procurement'!$A:$A,B33)&gt;0,"Yes","Not in Procurement"))</f>
      </c>
    </row>
    <row r="34" spans="1:17" x14ac:dyDescent="0.25">
      <c r="O34" s="10">
        <f>IF(OR(A34="",I34=""),"",IF(ABS(I34-ROUND(H34*0.15,2))&lt;=0.01,"OK","Check the GST"))</f>
      </c>
      <c r="P34" s="10">
        <f>IF(OR(A34="",J34=""),"",IF(ABS(J34-H34-N(I34))&lt;=0.01,"OK","Check the total"))</f>
      </c>
      <c r="Q34" s="10">
        <f>IF(A34="","",IF(COUNTIF('Procurement'!$A:$A,B34)&gt;0,"Yes","Not in Procurement"))</f>
      </c>
    </row>
    <row r="35" spans="1:17" x14ac:dyDescent="0.25">
      <c r="O35" s="10">
        <f>IF(OR(A35="",I35=""),"",IF(ABS(I35-ROUND(H35*0.15,2))&lt;=0.01,"OK","Check the GST"))</f>
      </c>
      <c r="P35" s="10">
        <f>IF(OR(A35="",J35=""),"",IF(ABS(J35-H35-N(I35))&lt;=0.01,"OK","Check the total"))</f>
      </c>
      <c r="Q35" s="10">
        <f>IF(A35="","",IF(COUNTIF('Procurement'!$A:$A,B35)&gt;0,"Yes","Not in Procurement"))</f>
      </c>
    </row>
    <row r="36" spans="1:17" x14ac:dyDescent="0.25">
      <c r="O36" s="10">
        <f>IF(OR(A36="",I36=""),"",IF(ABS(I36-ROUND(H36*0.15,2))&lt;=0.01,"OK","Check the GST"))</f>
      </c>
      <c r="P36" s="10">
        <f>IF(OR(A36="",J36=""),"",IF(ABS(J36-H36-N(I36))&lt;=0.01,"OK","Check the total"))</f>
      </c>
      <c r="Q36" s="10">
        <f>IF(A36="","",IF(COUNTIF('Procurement'!$A:$A,B36)&gt;0,"Yes","Not in Procurement"))</f>
      </c>
    </row>
    <row r="37" spans="1:17" x14ac:dyDescent="0.25">
      <c r="O37" s="10">
        <f>IF(OR(A37="",I37=""),"",IF(ABS(I37-ROUND(H37*0.15,2))&lt;=0.01,"OK","Check the GST"))</f>
      </c>
      <c r="P37" s="10">
        <f>IF(OR(A37="",J37=""),"",IF(ABS(J37-H37-N(I37))&lt;=0.01,"OK","Check the total"))</f>
      </c>
      <c r="Q37" s="10">
        <f>IF(A37="","",IF(COUNTIF('Procurement'!$A:$A,B37)&gt;0,"Yes","Not in Procurement"))</f>
      </c>
    </row>
    <row r="38" spans="1:17" x14ac:dyDescent="0.25">
      <c r="O38" s="10">
        <f>IF(OR(A38="",I38=""),"",IF(ABS(I38-ROUND(H38*0.15,2))&lt;=0.01,"OK","Check the GST"))</f>
      </c>
      <c r="P38" s="10">
        <f>IF(OR(A38="",J38=""),"",IF(ABS(J38-H38-N(I38))&lt;=0.01,"OK","Check the total"))</f>
      </c>
      <c r="Q38" s="10">
        <f>IF(A38="","",IF(COUNTIF('Procurement'!$A:$A,B38)&gt;0,"Yes","Not in Procurement"))</f>
      </c>
    </row>
    <row r="39" spans="1:17" x14ac:dyDescent="0.25">
      <c r="O39" s="10">
        <f>IF(OR(A39="",I39=""),"",IF(ABS(I39-ROUND(H39*0.15,2))&lt;=0.01,"OK","Check the GST"))</f>
      </c>
      <c r="P39" s="10">
        <f>IF(OR(A39="",J39=""),"",IF(ABS(J39-H39-N(I39))&lt;=0.01,"OK","Check the total"))</f>
      </c>
      <c r="Q39" s="10">
        <f>IF(A39="","",IF(COUNTIF('Procurement'!$A:$A,B39)&gt;0,"Yes","Not in Procurement"))</f>
      </c>
    </row>
    <row r="40" spans="1:17" x14ac:dyDescent="0.25">
      <c r="O40" s="10">
        <f>IF(OR(A40="",I40=""),"",IF(ABS(I40-ROUND(H40*0.15,2))&lt;=0.01,"OK","Check the GST"))</f>
      </c>
      <c r="P40" s="10">
        <f>IF(OR(A40="",J40=""),"",IF(ABS(J40-H40-N(I40))&lt;=0.01,"OK","Check the total"))</f>
      </c>
      <c r="Q40" s="10">
        <f>IF(A40="","",IF(COUNTIF('Procurement'!$A:$A,B40)&gt;0,"Yes","Not in Procurement"))</f>
      </c>
    </row>
    <row r="41" spans="1:17" x14ac:dyDescent="0.25">
      <c r="O41" s="10">
        <f>IF(OR(A41="",I41=""),"",IF(ABS(I41-ROUND(H41*0.15,2))&lt;=0.01,"OK","Check the GST"))</f>
      </c>
      <c r="P41" s="10">
        <f>IF(OR(A41="",J41=""),"",IF(ABS(J41-H41-N(I41))&lt;=0.01,"OK","Check the total"))</f>
      </c>
      <c r="Q41" s="10">
        <f>IF(A41="","",IF(COUNTIF('Procurement'!$A:$A,B41)&gt;0,"Yes","Not in Procurement"))</f>
      </c>
    </row>
    <row r="42" spans="1:17" x14ac:dyDescent="0.25">
      <c r="O42" s="10">
        <f>IF(OR(A42="",I42=""),"",IF(ABS(I42-ROUND(H42*0.15,2))&lt;=0.01,"OK","Check the GST"))</f>
      </c>
      <c r="P42" s="10">
        <f>IF(OR(A42="",J42=""),"",IF(ABS(J42-H42-N(I42))&lt;=0.01,"OK","Check the total"))</f>
      </c>
      <c r="Q42" s="10">
        <f>IF(A42="","",IF(COUNTIF('Procurement'!$A:$A,B42)&gt;0,"Yes","Not in Procurement"))</f>
      </c>
    </row>
    <row r="43" spans="1:17" x14ac:dyDescent="0.25">
      <c r="O43" s="10">
        <f>IF(OR(A43="",I43=""),"",IF(ABS(I43-ROUND(H43*0.15,2))&lt;=0.01,"OK","Check the GST"))</f>
      </c>
      <c r="P43" s="10">
        <f>IF(OR(A43="",J43=""),"",IF(ABS(J43-H43-N(I43))&lt;=0.01,"OK","Check the total"))</f>
      </c>
      <c r="Q43" s="10">
        <f>IF(A43="","",IF(COUNTIF('Procurement'!$A:$A,B43)&gt;0,"Yes","Not in Procurement"))</f>
      </c>
    </row>
    <row r="44" spans="1:17" x14ac:dyDescent="0.25">
      <c r="O44" s="10">
        <f>IF(OR(A44="",I44=""),"",IF(ABS(I44-ROUND(H44*0.15,2))&lt;=0.01,"OK","Check the GST"))</f>
      </c>
      <c r="P44" s="10">
        <f>IF(OR(A44="",J44=""),"",IF(ABS(J44-H44-N(I44))&lt;=0.01,"OK","Check the total"))</f>
      </c>
      <c r="Q44" s="10">
        <f>IF(A44="","",IF(COUNTIF('Procurement'!$A:$A,B44)&gt;0,"Yes","Not in Procurement"))</f>
      </c>
    </row>
    <row r="45" spans="1:17" x14ac:dyDescent="0.25">
      <c r="O45" s="10">
        <f>IF(OR(A45="",I45=""),"",IF(ABS(I45-ROUND(H45*0.15,2))&lt;=0.01,"OK","Check the GST"))</f>
      </c>
      <c r="P45" s="10">
        <f>IF(OR(A45="",J45=""),"",IF(ABS(J45-H45-N(I45))&lt;=0.01,"OK","Check the total"))</f>
      </c>
      <c r="Q45" s="10">
        <f>IF(A45="","",IF(COUNTIF('Procurement'!$A:$A,B45)&gt;0,"Yes","Not in Procurement"))</f>
      </c>
    </row>
    <row r="46" spans="1:17" x14ac:dyDescent="0.25">
      <c r="O46" s="10">
        <f>IF(OR(A46="",I46=""),"",IF(ABS(I46-ROUND(H46*0.15,2))&lt;=0.01,"OK","Check the GST"))</f>
      </c>
      <c r="P46" s="10">
        <f>IF(OR(A46="",J46=""),"",IF(ABS(J46-H46-N(I46))&lt;=0.01,"OK","Check the total"))</f>
      </c>
      <c r="Q46" s="10">
        <f>IF(A46="","",IF(COUNTIF('Procurement'!$A:$A,B46)&gt;0,"Yes","Not in Procurement"))</f>
      </c>
    </row>
    <row r="48" spans="1:1" s="2" customFormat="1" x14ac:dyDescent="0.25">
      <c r="A48" s="2" t="s">
        <v>32</v>
      </c>
    </row>
  </sheetData>
  <dataValidations count="2">
    <dataValidation type="list" allowBlank="1" sqref="M10:M46">
      <formula1>"To check,Approved to pay,Queried,Paid"</formula1>
    </dataValidation>
    <dataValidation type="list" allowBlank="1" sqref="M5:M46">
      <formula1>"To check,Approved to pay,Queried,Paid"</formula1>
    </dataValidation>
  </dataValidations>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pane xSplit="1" ySplit="4" topLeftCell="B5" activePane="bottomRight" state="frozen"/>
      <selection pane="bottomRight"/>
    </sheetView>
  </sheetViews>
  <sheetFormatPr defaultRowHeight="15" outlineLevelRow="0" outlineLevelCol="0" x14ac:dyDescent="55"/>
  <cols>
    <col min="1" max="1" width="12" customWidth="1"/>
    <col min="2" max="2" width="20" customWidth="1"/>
    <col min="3" max="3" width="14" customWidth="1"/>
    <col min="4" max="4" width="11" customWidth="1"/>
    <col min="5" max="6" width="14" customWidth="1"/>
    <col min="7" max="7" width="12" customWidth="1"/>
    <col min="8" max="9" width="11" customWidth="1"/>
    <col min="10" max="10" width="21" customWidth="1"/>
    <col min="11" max="11" width="14" customWidth="1"/>
    <col min="12" max="13" width="11" customWidth="1"/>
    <col min="14" max="14" width="15" customWidth="1"/>
  </cols>
  <sheetData>
    <row r="1" spans="1:1" s="1" customFormat="1" x14ac:dyDescent="0.25">
      <c r="A1" s="1" t="s">
        <v>477</v>
      </c>
    </row>
    <row r="2" spans="1:1" s="2" customFormat="1" x14ac:dyDescent="0.25">
      <c r="A2" s="2" t="s">
        <v>478</v>
      </c>
    </row>
    <row r="4" spans="1:14" s="3" customFormat="1" x14ac:dyDescent="0.25">
      <c r="A4" s="7" t="s">
        <v>479</v>
      </c>
      <c r="B4" s="7" t="s">
        <v>480</v>
      </c>
      <c r="C4" s="7" t="s">
        <v>481</v>
      </c>
      <c r="D4" s="7" t="s">
        <v>482</v>
      </c>
      <c r="E4" s="7" t="s">
        <v>483</v>
      </c>
      <c r="F4" s="7" t="s">
        <v>484</v>
      </c>
      <c r="G4" s="7" t="s">
        <v>485</v>
      </c>
      <c r="H4" s="7" t="s">
        <v>39</v>
      </c>
      <c r="I4" s="7" t="s">
        <v>486</v>
      </c>
      <c r="J4" s="7" t="s">
        <v>487</v>
      </c>
      <c r="K4" s="7" t="s">
        <v>488</v>
      </c>
      <c r="L4" s="7" t="s">
        <v>489</v>
      </c>
      <c r="M4" s="7" t="s">
        <v>69</v>
      </c>
      <c r="N4" s="7" t="s">
        <v>490</v>
      </c>
    </row>
    <row r="5" spans="1:14" x14ac:dyDescent="0.25">
      <c r="A5" t="s">
        <v>491</v>
      </c>
      <c r="B5" t="s">
        <v>492</v>
      </c>
      <c r="D5" t="s">
        <v>493</v>
      </c>
      <c r="E5" t="s">
        <v>494</v>
      </c>
      <c r="H5">
        <v>145</v>
      </c>
      <c r="I5" t="s">
        <v>495</v>
      </c>
      <c r="K5" s="8">
        <v>46266</v>
      </c>
      <c r="N5" s="10">
        <f>IF(A5="","",SUMIFS('Plant hours'!$M:$M,'Plant hours'!$C:$C,A5))</f>
      </c>
    </row>
    <row r="6" spans="1:14" x14ac:dyDescent="0.25">
      <c r="A6" t="s">
        <v>496</v>
      </c>
      <c r="B6" t="s">
        <v>497</v>
      </c>
      <c r="C6" t="s">
        <v>498</v>
      </c>
      <c r="D6" t="s">
        <v>499</v>
      </c>
      <c r="E6" t="s">
        <v>500</v>
      </c>
      <c r="F6" t="s">
        <v>501</v>
      </c>
      <c r="H6">
        <v>95</v>
      </c>
      <c r="I6" t="s">
        <v>495</v>
      </c>
      <c r="J6">
        <v>4</v>
      </c>
      <c r="K6" s="8">
        <v>46273</v>
      </c>
      <c r="L6" s="8">
        <v>46295</v>
      </c>
      <c r="N6" s="10">
        <f>IF(A6="","",SUMIFS('Plant hours'!$M:$M,'Plant hours'!$C:$C,A6))</f>
      </c>
    </row>
    <row r="7" spans="1:14" x14ac:dyDescent="0.25">
      <c r="N7" s="10">
        <f>IF(A7="","",SUMIFS('Plant hours'!$M:$M,'Plant hours'!$C:$C,A7))</f>
      </c>
    </row>
    <row r="8" spans="1:14" x14ac:dyDescent="0.25">
      <c r="N8" s="10">
        <f>IF(A8="","",SUMIFS('Plant hours'!$M:$M,'Plant hours'!$C:$C,A8))</f>
      </c>
    </row>
    <row r="9" spans="1:14" x14ac:dyDescent="0.25">
      <c r="N9" s="10">
        <f>IF(A9="","",SUMIFS('Plant hours'!$M:$M,'Plant hours'!$C:$C,A9))</f>
      </c>
    </row>
    <row r="10" spans="1:14" x14ac:dyDescent="0.25">
      <c r="N10" s="10">
        <f>IF(A10="","",SUMIFS('Plant hours'!$M:$M,'Plant hours'!$C:$C,A10))</f>
      </c>
    </row>
    <row r="11" spans="1:14" x14ac:dyDescent="0.25">
      <c r="N11" s="10">
        <f>IF(A11="","",SUMIFS('Plant hours'!$M:$M,'Plant hours'!$C:$C,A11))</f>
      </c>
    </row>
    <row r="12" spans="1:14" x14ac:dyDescent="0.25">
      <c r="N12" s="10">
        <f>IF(A12="","",SUMIFS('Plant hours'!$M:$M,'Plant hours'!$C:$C,A12))</f>
      </c>
    </row>
    <row r="13" spans="1:14" x14ac:dyDescent="0.25">
      <c r="N13" s="10">
        <f>IF(A13="","",SUMIFS('Plant hours'!$M:$M,'Plant hours'!$C:$C,A13))</f>
      </c>
    </row>
    <row r="14" spans="1:14" x14ac:dyDescent="0.25">
      <c r="N14" s="10">
        <f>IF(A14="","",SUMIFS('Plant hours'!$M:$M,'Plant hours'!$C:$C,A14))</f>
      </c>
    </row>
    <row r="15" spans="1:14" x14ac:dyDescent="0.25">
      <c r="N15" s="10">
        <f>IF(A15="","",SUMIFS('Plant hours'!$M:$M,'Plant hours'!$C:$C,A15))</f>
      </c>
    </row>
    <row r="16" spans="1:14" x14ac:dyDescent="0.25">
      <c r="N16" s="10">
        <f>IF(A16="","",SUMIFS('Plant hours'!$M:$M,'Plant hours'!$C:$C,A16))</f>
      </c>
    </row>
    <row r="17" spans="1:14" x14ac:dyDescent="0.25">
      <c r="N17" s="10">
        <f>IF(A17="","",SUMIFS('Plant hours'!$M:$M,'Plant hours'!$C:$C,A17))</f>
      </c>
    </row>
    <row r="18" spans="1:14" x14ac:dyDescent="0.25">
      <c r="N18" s="10">
        <f>IF(A18="","",SUMIFS('Plant hours'!$M:$M,'Plant hours'!$C:$C,A18))</f>
      </c>
    </row>
    <row r="19" spans="1:14" x14ac:dyDescent="0.25">
      <c r="N19" s="10">
        <f>IF(A19="","",SUMIFS('Plant hours'!$M:$M,'Plant hours'!$C:$C,A19))</f>
      </c>
    </row>
    <row r="20" spans="1:14" x14ac:dyDescent="0.25">
      <c r="N20" s="10">
        <f>IF(A20="","",SUMIFS('Plant hours'!$M:$M,'Plant hours'!$C:$C,A20))</f>
      </c>
    </row>
    <row r="21" spans="1:14" x14ac:dyDescent="0.25">
      <c r="N21" s="10">
        <f>IF(A21="","",SUMIFS('Plant hours'!$M:$M,'Plant hours'!$C:$C,A21))</f>
      </c>
    </row>
    <row r="22" spans="1:14" x14ac:dyDescent="0.25">
      <c r="N22" s="10">
        <f>IF(A22="","",SUMIFS('Plant hours'!$M:$M,'Plant hours'!$C:$C,A22))</f>
      </c>
    </row>
    <row r="23" spans="1:14" x14ac:dyDescent="0.25">
      <c r="N23" s="10">
        <f>IF(A23="","",SUMIFS('Plant hours'!$M:$M,'Plant hours'!$C:$C,A23))</f>
      </c>
    </row>
    <row r="24" spans="1:14" x14ac:dyDescent="0.25">
      <c r="N24" s="10">
        <f>IF(A24="","",SUMIFS('Plant hours'!$M:$M,'Plant hours'!$C:$C,A24))</f>
      </c>
    </row>
    <row r="25" spans="1:14" x14ac:dyDescent="0.25">
      <c r="N25" s="10">
        <f>IF(A25="","",SUMIFS('Plant hours'!$M:$M,'Plant hours'!$C:$C,A25))</f>
      </c>
    </row>
    <row r="26" spans="1:14" x14ac:dyDescent="0.25">
      <c r="N26" s="10">
        <f>IF(A26="","",SUMIFS('Plant hours'!$M:$M,'Plant hours'!$C:$C,A26))</f>
      </c>
    </row>
    <row r="27" spans="1:14" x14ac:dyDescent="0.25">
      <c r="N27" s="10">
        <f>IF(A27="","",SUMIFS('Plant hours'!$M:$M,'Plant hours'!$C:$C,A27))</f>
      </c>
    </row>
    <row r="28" spans="1:14" x14ac:dyDescent="0.25">
      <c r="N28" s="10">
        <f>IF(A28="","",SUMIFS('Plant hours'!$M:$M,'Plant hours'!$C:$C,A28))</f>
      </c>
    </row>
    <row r="29" spans="1:14" x14ac:dyDescent="0.25">
      <c r="N29" s="10">
        <f>IF(A29="","",SUMIFS('Plant hours'!$M:$M,'Plant hours'!$C:$C,A29))</f>
      </c>
    </row>
    <row r="30" spans="1:14" x14ac:dyDescent="0.25">
      <c r="N30" s="10">
        <f>IF(A30="","",SUMIFS('Plant hours'!$M:$M,'Plant hours'!$C:$C,A30))</f>
      </c>
    </row>
    <row r="31" spans="1:14" x14ac:dyDescent="0.25">
      <c r="N31" s="10">
        <f>IF(A31="","",SUMIFS('Plant hours'!$M:$M,'Plant hours'!$C:$C,A31))</f>
      </c>
    </row>
    <row r="32" spans="1:14" x14ac:dyDescent="0.25">
      <c r="N32" s="10">
        <f>IF(A32="","",SUMIFS('Plant hours'!$M:$M,'Plant hours'!$C:$C,A32))</f>
      </c>
    </row>
    <row r="33" spans="1:14" x14ac:dyDescent="0.25">
      <c r="N33" s="10">
        <f>IF(A33="","",SUMIFS('Plant hours'!$M:$M,'Plant hours'!$C:$C,A33))</f>
      </c>
    </row>
    <row r="34" spans="1:14" x14ac:dyDescent="0.25">
      <c r="N34" s="10">
        <f>IF(A34="","",SUMIFS('Plant hours'!$M:$M,'Plant hours'!$C:$C,A34))</f>
      </c>
    </row>
    <row r="35" spans="1:14" x14ac:dyDescent="0.25">
      <c r="N35" s="10">
        <f>IF(A35="","",SUMIFS('Plant hours'!$M:$M,'Plant hours'!$C:$C,A35))</f>
      </c>
    </row>
    <row r="36" spans="1:14" x14ac:dyDescent="0.25">
      <c r="N36" s="10">
        <f>IF(A36="","",SUMIFS('Plant hours'!$M:$M,'Plant hours'!$C:$C,A36))</f>
      </c>
    </row>
    <row r="37" spans="1:14" x14ac:dyDescent="0.25">
      <c r="N37" s="10">
        <f>IF(A37="","",SUMIFS('Plant hours'!$M:$M,'Plant hours'!$C:$C,A37))</f>
      </c>
    </row>
    <row r="38" spans="1:14" x14ac:dyDescent="0.25">
      <c r="N38" s="10">
        <f>IF(A38="","",SUMIFS('Plant hours'!$M:$M,'Plant hours'!$C:$C,A38))</f>
      </c>
    </row>
    <row r="39" spans="1:14" x14ac:dyDescent="0.25">
      <c r="N39" s="10">
        <f>IF(A39="","",SUMIFS('Plant hours'!$M:$M,'Plant hours'!$C:$C,A39))</f>
      </c>
    </row>
    <row r="40" spans="1:14" x14ac:dyDescent="0.25">
      <c r="N40" s="10">
        <f>IF(A40="","",SUMIFS('Plant hours'!$M:$M,'Plant hours'!$C:$C,A40))</f>
      </c>
    </row>
    <row r="41" spans="1:14" x14ac:dyDescent="0.25">
      <c r="N41" s="10">
        <f>IF(A41="","",SUMIFS('Plant hours'!$M:$M,'Plant hours'!$C:$C,A41))</f>
      </c>
    </row>
    <row r="42" spans="1:14" x14ac:dyDescent="0.25">
      <c r="N42" s="10">
        <f>IF(A42="","",SUMIFS('Plant hours'!$M:$M,'Plant hours'!$C:$C,A42))</f>
      </c>
    </row>
    <row r="43" spans="1:14" x14ac:dyDescent="0.25">
      <c r="N43" s="10">
        <f>IF(A43="","",SUMIFS('Plant hours'!$M:$M,'Plant hours'!$C:$C,A43))</f>
      </c>
    </row>
    <row r="44" spans="1:14" x14ac:dyDescent="0.25">
      <c r="N44" s="10">
        <f>IF(A44="","",SUMIFS('Plant hours'!$M:$M,'Plant hours'!$C:$C,A44))</f>
      </c>
    </row>
    <row r="45" spans="1:14" x14ac:dyDescent="0.25">
      <c r="N45" s="10">
        <f>IF(A45="","",SUMIFS('Plant hours'!$M:$M,'Plant hours'!$C:$C,A45))</f>
      </c>
    </row>
    <row r="46" spans="1:14" x14ac:dyDescent="0.25">
      <c r="N46" s="10">
        <f>IF(A46="","",SUMIFS('Plant hours'!$M:$M,'Plant hours'!$C:$C,A46))</f>
      </c>
    </row>
    <row r="48" spans="1:1" s="2" customFormat="1" x14ac:dyDescent="0.25">
      <c r="A48" s="2" t="s">
        <v>32</v>
      </c>
    </row>
  </sheetData>
  <dataValidations count="4">
    <dataValidation type="list" allowBlank="1" sqref="E10:E46">
      <formula1>"Own fleet,Hired"</formula1>
    </dataValidation>
    <dataValidation type="list" allowBlank="1" sqref="E5:E46">
      <formula1>"Own fleet,Hired"</formula1>
    </dataValidation>
    <dataValidation type="list" allowBlank="1" sqref="I10:I46">
      <formula1>"per hour,per day,per week"</formula1>
    </dataValidation>
    <dataValidation type="list" allowBlank="1" sqref="I5:I46">
      <formula1>"per hour,per day,per week"</formula1>
    </dataValidation>
  </dataValidations>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pane xSplit="1" ySplit="4" topLeftCell="B5" activePane="bottomRight" state="frozen"/>
      <selection pane="bottomRight"/>
    </sheetView>
  </sheetViews>
  <sheetFormatPr defaultRowHeight="15" outlineLevelRow="0" outlineLevelCol="0" x14ac:dyDescent="55"/>
  <cols>
    <col min="1" max="2" width="11" customWidth="1"/>
    <col min="3" max="3" width="12" customWidth="1"/>
    <col min="4" max="4" width="13" customWidth="1"/>
    <col min="5" max="5" width="14" customWidth="1"/>
    <col min="6" max="6" width="15" customWidth="1"/>
    <col min="7" max="7" width="12" customWidth="1"/>
    <col min="8" max="12" width="11" customWidth="1"/>
    <col min="13" max="13" width="29" customWidth="1"/>
    <col min="14" max="14" width="11" customWidth="1"/>
  </cols>
  <sheetData>
    <row r="1" spans="1:1" s="1" customFormat="1" x14ac:dyDescent="0.25">
      <c r="A1" s="1" t="s">
        <v>502</v>
      </c>
    </row>
    <row r="2" spans="1:1" s="2" customFormat="1" x14ac:dyDescent="0.25">
      <c r="A2" s="2" t="s">
        <v>503</v>
      </c>
    </row>
    <row r="4" spans="1:14" s="3" customFormat="1" x14ac:dyDescent="0.25">
      <c r="A4" s="7" t="s">
        <v>504</v>
      </c>
      <c r="B4" s="7" t="s">
        <v>63</v>
      </c>
      <c r="C4" s="7" t="s">
        <v>479</v>
      </c>
      <c r="D4" s="7" t="s">
        <v>505</v>
      </c>
      <c r="E4" s="7" t="s">
        <v>506</v>
      </c>
      <c r="F4" s="7" t="s">
        <v>507</v>
      </c>
      <c r="G4" s="7" t="s">
        <v>508</v>
      </c>
      <c r="H4" s="7" t="s">
        <v>509</v>
      </c>
      <c r="I4" s="7" t="s">
        <v>35</v>
      </c>
      <c r="J4" s="7" t="s">
        <v>66</v>
      </c>
      <c r="K4" s="7" t="s">
        <v>510</v>
      </c>
      <c r="L4" s="7" t="s">
        <v>69</v>
      </c>
      <c r="M4" s="7" t="s">
        <v>511</v>
      </c>
      <c r="N4" s="7" t="s">
        <v>512</v>
      </c>
    </row>
    <row r="5" spans="1:14" x14ac:dyDescent="0.25">
      <c r="A5" t="s">
        <v>513</v>
      </c>
      <c r="B5" s="8">
        <v>46273</v>
      </c>
      <c r="C5" t="s">
        <v>491</v>
      </c>
      <c r="D5">
        <v>4210</v>
      </c>
      <c r="E5">
        <v>4217.5</v>
      </c>
      <c r="G5">
        <v>0.5</v>
      </c>
      <c r="H5" t="s">
        <v>514</v>
      </c>
      <c r="I5" t="s">
        <v>48</v>
      </c>
      <c r="M5" s="10">
        <f>IF(A5="","",IF(AND(D5&lt;&gt;"",E5&lt;&gt;""),E5-D5,N(F5)))</f>
      </c>
      <c r="N5" s="10">
        <f>IF(A5="","",IF(AND(D5&lt;&gt;"",E5&lt;&gt;"",E5&lt;D5),"Meter goes backwards",IF(M5&gt;12,"Over 12 hours","")))</f>
      </c>
    </row>
    <row r="6" spans="1:14" x14ac:dyDescent="0.25">
      <c r="A6" t="s">
        <v>515</v>
      </c>
      <c r="B6" s="8">
        <v>46273</v>
      </c>
      <c r="C6" t="s">
        <v>496</v>
      </c>
      <c r="D6">
        <v>880</v>
      </c>
      <c r="E6">
        <v>883</v>
      </c>
      <c r="G6">
        <v>1</v>
      </c>
      <c r="H6" t="s">
        <v>516</v>
      </c>
      <c r="I6" t="s">
        <v>48</v>
      </c>
      <c r="M6" s="10">
        <f>IF(A6="","",IF(AND(D6&lt;&gt;"",E6&lt;&gt;""),E6-D6,N(F6)))</f>
      </c>
      <c r="N6" s="10">
        <f>IF(A6="","",IF(AND(D6&lt;&gt;"",E6&lt;&gt;"",E6&lt;D6),"Meter goes backwards",IF(M6&gt;12,"Over 12 hours","")))</f>
      </c>
    </row>
    <row r="7" spans="1:14" x14ac:dyDescent="0.25">
      <c r="A7" t="s">
        <v>517</v>
      </c>
      <c r="B7" s="8">
        <v>46274</v>
      </c>
      <c r="C7" t="s">
        <v>491</v>
      </c>
      <c r="D7">
        <v>4217.5</v>
      </c>
      <c r="E7">
        <v>4225</v>
      </c>
      <c r="G7">
        <v>0</v>
      </c>
      <c r="H7" t="s">
        <v>514</v>
      </c>
      <c r="I7" t="s">
        <v>48</v>
      </c>
      <c r="M7" s="10">
        <f>IF(A7="","",IF(AND(D7&lt;&gt;"",E7&lt;&gt;""),E7-D7,N(F7)))</f>
      </c>
      <c r="N7" s="10">
        <f>IF(A7="","",IF(AND(D7&lt;&gt;"",E7&lt;&gt;"",E7&lt;D7),"Meter goes backwards",IF(M7&gt;12,"Over 12 hours","")))</f>
      </c>
    </row>
    <row r="8" spans="1:14" x14ac:dyDescent="0.25">
      <c r="A8" t="s">
        <v>518</v>
      </c>
      <c r="B8" s="8">
        <v>46274</v>
      </c>
      <c r="C8" t="s">
        <v>496</v>
      </c>
      <c r="D8">
        <v>883</v>
      </c>
      <c r="E8">
        <v>888.5</v>
      </c>
      <c r="G8">
        <v>0</v>
      </c>
      <c r="H8" t="s">
        <v>516</v>
      </c>
      <c r="I8" t="s">
        <v>48</v>
      </c>
      <c r="M8" s="10">
        <f>IF(A8="","",IF(AND(D8&lt;&gt;"",E8&lt;&gt;""),E8-D8,N(F8)))</f>
      </c>
      <c r="N8" s="10">
        <f>IF(A8="","",IF(AND(D8&lt;&gt;"",E8&lt;&gt;"",E8&lt;D8),"Meter goes backwards",IF(M8&gt;12,"Over 12 hours","")))</f>
      </c>
    </row>
    <row r="9" spans="1:14" x14ac:dyDescent="0.25">
      <c r="A9" t="s">
        <v>519</v>
      </c>
      <c r="B9" s="8">
        <v>46275</v>
      </c>
      <c r="C9" t="s">
        <v>491</v>
      </c>
      <c r="D9">
        <v>4225</v>
      </c>
      <c r="E9">
        <v>4231</v>
      </c>
      <c r="G9">
        <v>1</v>
      </c>
      <c r="H9" t="s">
        <v>514</v>
      </c>
      <c r="I9" t="s">
        <v>48</v>
      </c>
      <c r="M9" s="10">
        <f>IF(A9="","",IF(AND(D9&lt;&gt;"",E9&lt;&gt;""),E9-D9,N(F9)))</f>
      </c>
      <c r="N9" s="10">
        <f>IF(A9="","",IF(AND(D9&lt;&gt;"",E9&lt;&gt;"",E9&lt;D9),"Meter goes backwards",IF(M9&gt;12,"Over 12 hours","")))</f>
      </c>
    </row>
    <row r="10" spans="1:14" x14ac:dyDescent="0.25">
      <c r="M10" s="10">
        <f>IF(A10="","",IF(AND(D10&lt;&gt;"",E10&lt;&gt;""),E10-D10,N(F10)))</f>
      </c>
      <c r="N10" s="10">
        <f>IF(A10="","",IF(AND(D10&lt;&gt;"",E10&lt;&gt;"",E10&lt;D10),"Meter goes backwards",IF(M10&gt;12,"Over 12 hours","")))</f>
      </c>
    </row>
    <row r="11" spans="1:14" x14ac:dyDescent="0.25">
      <c r="M11" s="10">
        <f>IF(A11="","",IF(AND(D11&lt;&gt;"",E11&lt;&gt;""),E11-D11,N(F11)))</f>
      </c>
      <c r="N11" s="10">
        <f>IF(A11="","",IF(AND(D11&lt;&gt;"",E11&lt;&gt;"",E11&lt;D11),"Meter goes backwards",IF(M11&gt;12,"Over 12 hours","")))</f>
      </c>
    </row>
    <row r="12" spans="1:14" x14ac:dyDescent="0.25">
      <c r="M12" s="10">
        <f>IF(A12="","",IF(AND(D12&lt;&gt;"",E12&lt;&gt;""),E12-D12,N(F12)))</f>
      </c>
      <c r="N12" s="10">
        <f>IF(A12="","",IF(AND(D12&lt;&gt;"",E12&lt;&gt;"",E12&lt;D12),"Meter goes backwards",IF(M12&gt;12,"Over 12 hours","")))</f>
      </c>
    </row>
    <row r="13" spans="1:14" x14ac:dyDescent="0.25">
      <c r="M13" s="10">
        <f>IF(A13="","",IF(AND(D13&lt;&gt;"",E13&lt;&gt;""),E13-D13,N(F13)))</f>
      </c>
      <c r="N13" s="10">
        <f>IF(A13="","",IF(AND(D13&lt;&gt;"",E13&lt;&gt;"",E13&lt;D13),"Meter goes backwards",IF(M13&gt;12,"Over 12 hours","")))</f>
      </c>
    </row>
    <row r="14" spans="1:14" x14ac:dyDescent="0.25">
      <c r="M14" s="10">
        <f>IF(A14="","",IF(AND(D14&lt;&gt;"",E14&lt;&gt;""),E14-D14,N(F14)))</f>
      </c>
      <c r="N14" s="10">
        <f>IF(A14="","",IF(AND(D14&lt;&gt;"",E14&lt;&gt;"",E14&lt;D14),"Meter goes backwards",IF(M14&gt;12,"Over 12 hours","")))</f>
      </c>
    </row>
    <row r="15" spans="1:14" x14ac:dyDescent="0.25">
      <c r="M15" s="10">
        <f>IF(A15="","",IF(AND(D15&lt;&gt;"",E15&lt;&gt;""),E15-D15,N(F15)))</f>
      </c>
      <c r="N15" s="10">
        <f>IF(A15="","",IF(AND(D15&lt;&gt;"",E15&lt;&gt;"",E15&lt;D15),"Meter goes backwards",IF(M15&gt;12,"Over 12 hours","")))</f>
      </c>
    </row>
    <row r="16" spans="1:14" x14ac:dyDescent="0.25">
      <c r="M16" s="10">
        <f>IF(A16="","",IF(AND(D16&lt;&gt;"",E16&lt;&gt;""),E16-D16,N(F16)))</f>
      </c>
      <c r="N16" s="10">
        <f>IF(A16="","",IF(AND(D16&lt;&gt;"",E16&lt;&gt;"",E16&lt;D16),"Meter goes backwards",IF(M16&gt;12,"Over 12 hours","")))</f>
      </c>
    </row>
    <row r="17" spans="1:14" x14ac:dyDescent="0.25">
      <c r="M17" s="10">
        <f>IF(A17="","",IF(AND(D17&lt;&gt;"",E17&lt;&gt;""),E17-D17,N(F17)))</f>
      </c>
      <c r="N17" s="10">
        <f>IF(A17="","",IF(AND(D17&lt;&gt;"",E17&lt;&gt;"",E17&lt;D17),"Meter goes backwards",IF(M17&gt;12,"Over 12 hours","")))</f>
      </c>
    </row>
    <row r="18" spans="1:14" x14ac:dyDescent="0.25">
      <c r="M18" s="10">
        <f>IF(A18="","",IF(AND(D18&lt;&gt;"",E18&lt;&gt;""),E18-D18,N(F18)))</f>
      </c>
      <c r="N18" s="10">
        <f>IF(A18="","",IF(AND(D18&lt;&gt;"",E18&lt;&gt;"",E18&lt;D18),"Meter goes backwards",IF(M18&gt;12,"Over 12 hours","")))</f>
      </c>
    </row>
    <row r="19" spans="1:14" x14ac:dyDescent="0.25">
      <c r="M19" s="10">
        <f>IF(A19="","",IF(AND(D19&lt;&gt;"",E19&lt;&gt;""),E19-D19,N(F19)))</f>
      </c>
      <c r="N19" s="10">
        <f>IF(A19="","",IF(AND(D19&lt;&gt;"",E19&lt;&gt;"",E19&lt;D19),"Meter goes backwards",IF(M19&gt;12,"Over 12 hours","")))</f>
      </c>
    </row>
    <row r="20" spans="1:14" x14ac:dyDescent="0.25">
      <c r="M20" s="10">
        <f>IF(A20="","",IF(AND(D20&lt;&gt;"",E20&lt;&gt;""),E20-D20,N(F20)))</f>
      </c>
      <c r="N20" s="10">
        <f>IF(A20="","",IF(AND(D20&lt;&gt;"",E20&lt;&gt;"",E20&lt;D20),"Meter goes backwards",IF(M20&gt;12,"Over 12 hours","")))</f>
      </c>
    </row>
    <row r="21" spans="1:14" x14ac:dyDescent="0.25">
      <c r="M21" s="10">
        <f>IF(A21="","",IF(AND(D21&lt;&gt;"",E21&lt;&gt;""),E21-D21,N(F21)))</f>
      </c>
      <c r="N21" s="10">
        <f>IF(A21="","",IF(AND(D21&lt;&gt;"",E21&lt;&gt;"",E21&lt;D21),"Meter goes backwards",IF(M21&gt;12,"Over 12 hours","")))</f>
      </c>
    </row>
    <row r="22" spans="1:14" x14ac:dyDescent="0.25">
      <c r="M22" s="10">
        <f>IF(A22="","",IF(AND(D22&lt;&gt;"",E22&lt;&gt;""),E22-D22,N(F22)))</f>
      </c>
      <c r="N22" s="10">
        <f>IF(A22="","",IF(AND(D22&lt;&gt;"",E22&lt;&gt;"",E22&lt;D22),"Meter goes backwards",IF(M22&gt;12,"Over 12 hours","")))</f>
      </c>
    </row>
    <row r="23" spans="1:14" x14ac:dyDescent="0.25">
      <c r="M23" s="10">
        <f>IF(A23="","",IF(AND(D23&lt;&gt;"",E23&lt;&gt;""),E23-D23,N(F23)))</f>
      </c>
      <c r="N23" s="10">
        <f>IF(A23="","",IF(AND(D23&lt;&gt;"",E23&lt;&gt;"",E23&lt;D23),"Meter goes backwards",IF(M23&gt;12,"Over 12 hours","")))</f>
      </c>
    </row>
    <row r="24" spans="1:14" x14ac:dyDescent="0.25">
      <c r="M24" s="10">
        <f>IF(A24="","",IF(AND(D24&lt;&gt;"",E24&lt;&gt;""),E24-D24,N(F24)))</f>
      </c>
      <c r="N24" s="10">
        <f>IF(A24="","",IF(AND(D24&lt;&gt;"",E24&lt;&gt;"",E24&lt;D24),"Meter goes backwards",IF(M24&gt;12,"Over 12 hours","")))</f>
      </c>
    </row>
    <row r="25" spans="1:14" x14ac:dyDescent="0.25">
      <c r="M25" s="10">
        <f>IF(A25="","",IF(AND(D25&lt;&gt;"",E25&lt;&gt;""),E25-D25,N(F25)))</f>
      </c>
      <c r="N25" s="10">
        <f>IF(A25="","",IF(AND(D25&lt;&gt;"",E25&lt;&gt;"",E25&lt;D25),"Meter goes backwards",IF(M25&gt;12,"Over 12 hours","")))</f>
      </c>
    </row>
    <row r="26" spans="1:14" x14ac:dyDescent="0.25">
      <c r="M26" s="10">
        <f>IF(A26="","",IF(AND(D26&lt;&gt;"",E26&lt;&gt;""),E26-D26,N(F26)))</f>
      </c>
      <c r="N26" s="10">
        <f>IF(A26="","",IF(AND(D26&lt;&gt;"",E26&lt;&gt;"",E26&lt;D26),"Meter goes backwards",IF(M26&gt;12,"Over 12 hours","")))</f>
      </c>
    </row>
    <row r="27" spans="1:14" x14ac:dyDescent="0.25">
      <c r="M27" s="10">
        <f>IF(A27="","",IF(AND(D27&lt;&gt;"",E27&lt;&gt;""),E27-D27,N(F27)))</f>
      </c>
      <c r="N27" s="10">
        <f>IF(A27="","",IF(AND(D27&lt;&gt;"",E27&lt;&gt;"",E27&lt;D27),"Meter goes backwards",IF(M27&gt;12,"Over 12 hours","")))</f>
      </c>
    </row>
    <row r="28" spans="1:14" x14ac:dyDescent="0.25">
      <c r="M28" s="10">
        <f>IF(A28="","",IF(AND(D28&lt;&gt;"",E28&lt;&gt;""),E28-D28,N(F28)))</f>
      </c>
      <c r="N28" s="10">
        <f>IF(A28="","",IF(AND(D28&lt;&gt;"",E28&lt;&gt;"",E28&lt;D28),"Meter goes backwards",IF(M28&gt;12,"Over 12 hours","")))</f>
      </c>
    </row>
    <row r="29" spans="1:14" x14ac:dyDescent="0.25">
      <c r="M29" s="10">
        <f>IF(A29="","",IF(AND(D29&lt;&gt;"",E29&lt;&gt;""),E29-D29,N(F29)))</f>
      </c>
      <c r="N29" s="10">
        <f>IF(A29="","",IF(AND(D29&lt;&gt;"",E29&lt;&gt;"",E29&lt;D29),"Meter goes backwards",IF(M29&gt;12,"Over 12 hours","")))</f>
      </c>
    </row>
    <row r="30" spans="1:14" x14ac:dyDescent="0.25">
      <c r="M30" s="10">
        <f>IF(A30="","",IF(AND(D30&lt;&gt;"",E30&lt;&gt;""),E30-D30,N(F30)))</f>
      </c>
      <c r="N30" s="10">
        <f>IF(A30="","",IF(AND(D30&lt;&gt;"",E30&lt;&gt;"",E30&lt;D30),"Meter goes backwards",IF(M30&gt;12,"Over 12 hours","")))</f>
      </c>
    </row>
    <row r="31" spans="1:14" x14ac:dyDescent="0.25">
      <c r="M31" s="10">
        <f>IF(A31="","",IF(AND(D31&lt;&gt;"",E31&lt;&gt;""),E31-D31,N(F31)))</f>
      </c>
      <c r="N31" s="10">
        <f>IF(A31="","",IF(AND(D31&lt;&gt;"",E31&lt;&gt;"",E31&lt;D31),"Meter goes backwards",IF(M31&gt;12,"Over 12 hours","")))</f>
      </c>
    </row>
    <row r="32" spans="1:14" x14ac:dyDescent="0.25">
      <c r="M32" s="10">
        <f>IF(A32="","",IF(AND(D32&lt;&gt;"",E32&lt;&gt;""),E32-D32,N(F32)))</f>
      </c>
      <c r="N32" s="10">
        <f>IF(A32="","",IF(AND(D32&lt;&gt;"",E32&lt;&gt;"",E32&lt;D32),"Meter goes backwards",IF(M32&gt;12,"Over 12 hours","")))</f>
      </c>
    </row>
    <row r="33" spans="1:14" x14ac:dyDescent="0.25">
      <c r="M33" s="10">
        <f>IF(A33="","",IF(AND(D33&lt;&gt;"",E33&lt;&gt;""),E33-D33,N(F33)))</f>
      </c>
      <c r="N33" s="10">
        <f>IF(A33="","",IF(AND(D33&lt;&gt;"",E33&lt;&gt;"",E33&lt;D33),"Meter goes backwards",IF(M33&gt;12,"Over 12 hours","")))</f>
      </c>
    </row>
    <row r="34" spans="1:14" x14ac:dyDescent="0.25">
      <c r="M34" s="10">
        <f>IF(A34="","",IF(AND(D34&lt;&gt;"",E34&lt;&gt;""),E34-D34,N(F34)))</f>
      </c>
      <c r="N34" s="10">
        <f>IF(A34="","",IF(AND(D34&lt;&gt;"",E34&lt;&gt;"",E34&lt;D34),"Meter goes backwards",IF(M34&gt;12,"Over 12 hours","")))</f>
      </c>
    </row>
    <row r="35" spans="1:14" x14ac:dyDescent="0.25">
      <c r="M35" s="10">
        <f>IF(A35="","",IF(AND(D35&lt;&gt;"",E35&lt;&gt;""),E35-D35,N(F35)))</f>
      </c>
      <c r="N35" s="10">
        <f>IF(A35="","",IF(AND(D35&lt;&gt;"",E35&lt;&gt;"",E35&lt;D35),"Meter goes backwards",IF(M35&gt;12,"Over 12 hours","")))</f>
      </c>
    </row>
    <row r="36" spans="1:14" x14ac:dyDescent="0.25">
      <c r="M36" s="10">
        <f>IF(A36="","",IF(AND(D36&lt;&gt;"",E36&lt;&gt;""),E36-D36,N(F36)))</f>
      </c>
      <c r="N36" s="10">
        <f>IF(A36="","",IF(AND(D36&lt;&gt;"",E36&lt;&gt;"",E36&lt;D36),"Meter goes backwards",IF(M36&gt;12,"Over 12 hours","")))</f>
      </c>
    </row>
    <row r="37" spans="1:14" x14ac:dyDescent="0.25">
      <c r="M37" s="10">
        <f>IF(A37="","",IF(AND(D37&lt;&gt;"",E37&lt;&gt;""),E37-D37,N(F37)))</f>
      </c>
      <c r="N37" s="10">
        <f>IF(A37="","",IF(AND(D37&lt;&gt;"",E37&lt;&gt;"",E37&lt;D37),"Meter goes backwards",IF(M37&gt;12,"Over 12 hours","")))</f>
      </c>
    </row>
    <row r="38" spans="1:14" x14ac:dyDescent="0.25">
      <c r="M38" s="10">
        <f>IF(A38="","",IF(AND(D38&lt;&gt;"",E38&lt;&gt;""),E38-D38,N(F38)))</f>
      </c>
      <c r="N38" s="10">
        <f>IF(A38="","",IF(AND(D38&lt;&gt;"",E38&lt;&gt;"",E38&lt;D38),"Meter goes backwards",IF(M38&gt;12,"Over 12 hours","")))</f>
      </c>
    </row>
    <row r="39" spans="1:14" x14ac:dyDescent="0.25">
      <c r="M39" s="10">
        <f>IF(A39="","",IF(AND(D39&lt;&gt;"",E39&lt;&gt;""),E39-D39,N(F39)))</f>
      </c>
      <c r="N39" s="10">
        <f>IF(A39="","",IF(AND(D39&lt;&gt;"",E39&lt;&gt;"",E39&lt;D39),"Meter goes backwards",IF(M39&gt;12,"Over 12 hours","")))</f>
      </c>
    </row>
    <row r="40" spans="1:14" x14ac:dyDescent="0.25">
      <c r="M40" s="10">
        <f>IF(A40="","",IF(AND(D40&lt;&gt;"",E40&lt;&gt;""),E40-D40,N(F40)))</f>
      </c>
      <c r="N40" s="10">
        <f>IF(A40="","",IF(AND(D40&lt;&gt;"",E40&lt;&gt;"",E40&lt;D40),"Meter goes backwards",IF(M40&gt;12,"Over 12 hours","")))</f>
      </c>
    </row>
    <row r="41" spans="1:14" x14ac:dyDescent="0.25">
      <c r="M41" s="10">
        <f>IF(A41="","",IF(AND(D41&lt;&gt;"",E41&lt;&gt;""),E41-D41,N(F41)))</f>
      </c>
      <c r="N41" s="10">
        <f>IF(A41="","",IF(AND(D41&lt;&gt;"",E41&lt;&gt;"",E41&lt;D41),"Meter goes backwards",IF(M41&gt;12,"Over 12 hours","")))</f>
      </c>
    </row>
    <row r="42" spans="1:14" x14ac:dyDescent="0.25">
      <c r="M42" s="10">
        <f>IF(A42="","",IF(AND(D42&lt;&gt;"",E42&lt;&gt;""),E42-D42,N(F42)))</f>
      </c>
      <c r="N42" s="10">
        <f>IF(A42="","",IF(AND(D42&lt;&gt;"",E42&lt;&gt;"",E42&lt;D42),"Meter goes backwards",IF(M42&gt;12,"Over 12 hours","")))</f>
      </c>
    </row>
    <row r="43" spans="1:14" x14ac:dyDescent="0.25">
      <c r="M43" s="10">
        <f>IF(A43="","",IF(AND(D43&lt;&gt;"",E43&lt;&gt;""),E43-D43,N(F43)))</f>
      </c>
      <c r="N43" s="10">
        <f>IF(A43="","",IF(AND(D43&lt;&gt;"",E43&lt;&gt;"",E43&lt;D43),"Meter goes backwards",IF(M43&gt;12,"Over 12 hours","")))</f>
      </c>
    </row>
    <row r="44" spans="1:14" x14ac:dyDescent="0.25">
      <c r="M44" s="10">
        <f>IF(A44="","",IF(AND(D44&lt;&gt;"",E44&lt;&gt;""),E44-D44,N(F44)))</f>
      </c>
      <c r="N44" s="10">
        <f>IF(A44="","",IF(AND(D44&lt;&gt;"",E44&lt;&gt;"",E44&lt;D44),"Meter goes backwards",IF(M44&gt;12,"Over 12 hours","")))</f>
      </c>
    </row>
    <row r="45" spans="1:14" x14ac:dyDescent="0.25">
      <c r="M45" s="10">
        <f>IF(A45="","",IF(AND(D45&lt;&gt;"",E45&lt;&gt;""),E45-D45,N(F45)))</f>
      </c>
      <c r="N45" s="10">
        <f>IF(A45="","",IF(AND(D45&lt;&gt;"",E45&lt;&gt;"",E45&lt;D45),"Meter goes backwards",IF(M45&gt;12,"Over 12 hours","")))</f>
      </c>
    </row>
    <row r="46" spans="1:14" x14ac:dyDescent="0.25">
      <c r="M46" s="10">
        <f>IF(A46="","",IF(AND(D46&lt;&gt;"",E46&lt;&gt;""),E46-D46,N(F46)))</f>
      </c>
      <c r="N46" s="10">
        <f>IF(A46="","",IF(AND(D46&lt;&gt;"",E46&lt;&gt;"",E46&lt;D46),"Meter goes backwards",IF(M46&gt;12,"Over 12 hours","")))</f>
      </c>
    </row>
    <row r="47" spans="1:14" x14ac:dyDescent="0.25">
      <c r="M47" s="10">
        <f>IF(A47="","",IF(AND(D47&lt;&gt;"",E47&lt;&gt;""),E47-D47,N(F47)))</f>
      </c>
      <c r="N47" s="10">
        <f>IF(A47="","",IF(AND(D47&lt;&gt;"",E47&lt;&gt;"",E47&lt;D47),"Meter goes backwards",IF(M47&gt;12,"Over 12 hours","")))</f>
      </c>
    </row>
    <row r="48" spans="1:14" x14ac:dyDescent="0.25">
      <c r="M48" s="10">
        <f>IF(A48="","",IF(AND(D48&lt;&gt;"",E48&lt;&gt;""),E48-D48,N(F48)))</f>
      </c>
      <c r="N48" s="10">
        <f>IF(A48="","",IF(AND(D48&lt;&gt;"",E48&lt;&gt;"",E48&lt;D48),"Meter goes backwards",IF(M48&gt;12,"Over 12 hours","")))</f>
      </c>
    </row>
    <row r="49" spans="1:14" x14ac:dyDescent="0.25">
      <c r="M49" s="10">
        <f>IF(A49="","",IF(AND(D49&lt;&gt;"",E49&lt;&gt;""),E49-D49,N(F49)))</f>
      </c>
      <c r="N49" s="10">
        <f>IF(A49="","",IF(AND(D49&lt;&gt;"",E49&lt;&gt;"",E49&lt;D49),"Meter goes backwards",IF(M49&gt;12,"Over 12 hours","")))</f>
      </c>
    </row>
    <row r="51" spans="1:1" s="2" customFormat="1" x14ac:dyDescent="0.25">
      <c r="A51" s="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Summary</vt:lpstr>
      <vt:lpstr>Items</vt:lpstr>
      <vt:lpstr>Measurement</vt:lpstr>
      <vt:lpstr>Claim lines</vt:lpstr>
      <vt:lpstr>Claims</vt:lpstr>
      <vt:lpstr>Schedules</vt:lpstr>
      <vt:lpstr>Payments</vt:lpstr>
      <vt:lpstr>Retention</vt:lpstr>
      <vt:lpstr>Variations</vt:lpstr>
      <vt:lpstr>RFIs</vt:lpstr>
      <vt:lpstr>Procurement</vt:lpstr>
      <vt:lpstr>Transmittals</vt:lpstr>
      <vt:lpstr>Diary index</vt:lpstr>
      <vt:lpstr>Budget</vt:lpstr>
      <vt:lpstr>Budget changes</vt:lpstr>
      <vt:lpstr>Cash flow</vt:lpstr>
      <vt:lpstr>Risks</vt:lpstr>
      <vt:lpstr>Programme</vt:lpstr>
      <vt:lpstr>Supplier invoices</vt:lpstr>
      <vt:lpstr>Plant</vt:lpstr>
      <vt:lpstr>Plant hours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2026-11-03T02:47:22Z</dcterms:created>
  <dcterms:modified xsi:type="dcterms:W3CDTF">2026-11-03T02:47:22Z</dcterms:modified>
</cp:coreProperties>
</file>