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ims register" state="visible" r:id="rId4"/>
    <sheet sheetId="2" name="Variat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<sst xmlns="http://schemas.openxmlformats.org/spreadsheetml/2006/main" count="93" uniqueCount="70">
  <si>
    <t>CLAIMS REGISTER</t>
  </si>
  <si>
    <t>One row per payment claim, sent or received. Type or paste into the white columns (A to P); the shaded columns are formulas.</t>
  </si>
  <si>
    <t>Claim no</t>
  </si>
  <si>
    <t>Direction</t>
  </si>
  <si>
    <t>Contract</t>
  </si>
  <si>
    <t>Claimant</t>
  </si>
  <si>
    <t>Payer</t>
  </si>
  <si>
    <t>Period end</t>
  </si>
  <si>
    <t>Date served</t>
  </si>
  <si>
    <t>Schedule due</t>
  </si>
  <si>
    <t>Payment due</t>
  </si>
  <si>
    <t>Claimed (ex GST)</t>
  </si>
  <si>
    <t>Scheduled (ex GST)</t>
  </si>
  <si>
    <t>Paid (ex GST)</t>
  </si>
  <si>
    <t>Date paid</t>
  </si>
  <si>
    <t>Retention held this claim</t>
  </si>
  <si>
    <t>Retention released</t>
  </si>
  <si>
    <t>Notes</t>
  </si>
  <si>
    <t>Variance (claimed less scheduled)</t>
  </si>
  <si>
    <t>Unpaid</t>
  </si>
  <si>
    <t>Retention held to date (this contract)</t>
  </si>
  <si>
    <t>Variations approved $</t>
  </si>
  <si>
    <t>Variations pending $</t>
  </si>
  <si>
    <t>Status</t>
  </si>
  <si>
    <t>PC-03</t>
  </si>
  <si>
    <t>Sent</t>
  </si>
  <si>
    <t>Example (made up): framing, 12 Example Street</t>
  </si>
  <si>
    <t>Sample Framing Co</t>
  </si>
  <si>
    <t>Sample Builders</t>
  </si>
  <si>
    <t>Example (made up): 1,500 of day works not agreed</t>
  </si>
  <si>
    <t>PC-04</t>
  </si>
  <si>
    <t>Example (made up)</t>
  </si>
  <si>
    <t>SC-07</t>
  </si>
  <si>
    <t>Received</t>
  </si>
  <si>
    <t>Example (made up): electrical, 12 Example Street</t>
  </si>
  <si>
    <t>Sample Sparks</t>
  </si>
  <si>
    <t>Example (made up): schedule to send</t>
  </si>
  <si>
    <t>Status is worked out from today's date: Paid, Scheduled at $0, Schedule date passed: none recorded, Payment overdue, or Open. It's a reminder to check, not a decision on what is owed.</t>
  </si>
  <si>
    <t>Free template from Black Creek Solutions (blackcreek.co.nz). Information, not legal advice. Check it against your contract before you use it.</t>
  </si>
  <si>
    <t>VARIATIONS</t>
  </si>
  <si>
    <t>The variations register's columns, plus the contract and the claim each variation is in. Totals flow to the Claims register.</t>
  </si>
  <si>
    <t>Var no</t>
  </si>
  <si>
    <t>Rev</t>
  </si>
  <si>
    <t>Description</t>
  </si>
  <si>
    <t>Instruction / ref</t>
  </si>
  <si>
    <t>Submitted</t>
  </si>
  <si>
    <t>Approved</t>
  </si>
  <si>
    <t>Quoted $</t>
  </si>
  <si>
    <t>Approved $</t>
  </si>
  <si>
    <t>Claimed to date $</t>
  </si>
  <si>
    <t>V01</t>
  </si>
  <si>
    <t>A</t>
  </si>
  <si>
    <t>Example (made up): extra blocking to kitchen wall</t>
  </si>
  <si>
    <t>SI-004</t>
  </si>
  <si>
    <t>Approved in writing by the site manager</t>
  </si>
  <si>
    <t>V02</t>
  </si>
  <si>
    <t>Example (made up): relocate two power points</t>
  </si>
  <si>
    <t>Email 12 Oct</t>
  </si>
  <si>
    <t>Pending</t>
  </si>
  <si>
    <t>Waiting on written approval</t>
  </si>
  <si>
    <t>SUMMARY</t>
  </si>
  <si>
    <t>From the Claims register. Formulas only.</t>
  </si>
  <si>
    <t/>
  </si>
  <si>
    <t>Claims sent</t>
  </si>
  <si>
    <t>Claims received</t>
  </si>
  <si>
    <t>Retention held this claim, total</t>
  </si>
  <si>
    <t>Retention released, total</t>
  </si>
  <si>
    <t>Payment overdue (count)</t>
  </si>
  <si>
    <t>Schedule date passed, none recorded (count)</t>
  </si>
  <si>
    <t>Dates: Construction Contracts Act 2002, s22(b) (payment schedule) and s18 (payment), 20 working days unless the contract says otherwise. Source: legislation.govt.nz, checked 1 Nov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</si>
</sst>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i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3F3F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4" fontId="0" fillId="0" borderId="0" xfId="0" applyNumberFormat="1"/>
    <xf numFmtId="4" fontId="0" fillId="3" borderId="0" xfId="0" applyNumberFormat="1" applyFill="1"/>
    <xf numFmtId="0" fontId="0" fillId="3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2" width="10" customWidth="1"/>
    <col min="3" max="3" width="34" customWidth="1"/>
    <col min="4" max="5" width="20" customWidth="1"/>
    <col min="6" max="7" width="12" customWidth="1"/>
    <col min="8" max="9" width="13" customWidth="1"/>
    <col min="10" max="12" width="15" customWidth="1"/>
    <col min="13" max="13" width="12" customWidth="1"/>
    <col min="14" max="14" width="15" customWidth="1"/>
    <col min="15" max="15" width="14" customWidth="1"/>
    <col min="16" max="16" width="26" customWidth="1"/>
    <col min="17" max="17" width="16" customWidth="1"/>
    <col min="18" max="18" width="14" customWidth="1"/>
    <col min="19" max="19" width="18" customWidth="1"/>
    <col min="20" max="21" width="15" customWidth="1"/>
    <col min="22" max="22" width="30" customWidth="1"/>
  </cols>
  <sheetData>
    <row r="1" spans="1:2" s="1" customFormat="1" x14ac:dyDescent="0.25">
      <c r="A1" s="1" t="s">
        <v>0</v>
      </c>
      <c r="B1" s="1"/>
    </row>
    <row r="2" spans="1:2" s="2" customFormat="1" x14ac:dyDescent="0.25">
      <c r="A2" s="2" t="s">
        <v>1</v>
      </c>
      <c r="B2" s="2"/>
    </row>
    <row r="4" spans="1:22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</row>
    <row r="5" spans="1:22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s="5">
        <v>46265</v>
      </c>
      <c r="G5" s="5">
        <v>46266</v>
      </c>
      <c r="H5" s="5">
        <v>46294</v>
      </c>
      <c r="I5" s="5">
        <v>46294</v>
      </c>
      <c r="J5" s="6">
        <v>24000</v>
      </c>
      <c r="K5" s="6">
        <v>22500</v>
      </c>
      <c r="L5" s="6">
        <v>22500</v>
      </c>
      <c r="M5" s="5">
        <v>46293</v>
      </c>
      <c r="N5" s="6">
        <v>1125</v>
      </c>
      <c r="O5" s="6">
        <v>0</v>
      </c>
      <c r="P5" t="s">
        <v>29</v>
      </c>
      <c r="Q5" s="7">
        <f>IF(OR(J5="",K5=""),"",J5-K5)</f>
      </c>
      <c r="R5" s="7">
        <f>IF(A5="","",IF(K5="",J5,K5)-N(L5))</f>
      </c>
      <c r="S5" s="7">
        <f>IF(A5="","",SUMIFS($N$5:N5,$C$5:C5,C5)-SUMIFS($O$5:O5,$C$5:C5,C5))</f>
      </c>
      <c r="T5" s="7">
        <f>IF(A5="","",SUMIFS(Variations!$I:$I,Variations!$G:$G,"Approved",Variations!$L:$L,C5,Variations!$M:$M,A5))</f>
      </c>
      <c r="U5" s="7">
        <f>IF(A5="","",SUMIFS(Variations!$H:$H,Variations!$G:$G,"Pending",Variations!$L:$L,C5,Variations!$M:$M,A5)+SUMIFS(Variations!$H:$H,Variations!$G:$G,"Submitted",Variations!$L:$L,C5,Variations!$M:$M,A5))</f>
      </c>
      <c r="V5" s="8">
        <f>IF(A5="","",IF(AND(L5&lt;&gt;"",L5&gt;=IF(K5="",J5,K5)),"Paid",IF(AND(K5&lt;&gt;"",K5=0),"Scheduled at $0",IF(AND(K5="",H5&lt;&gt;"",TODAY()&gt;H5),"Schedule date passed: none recorded",IF(AND(I5&lt;&gt;"",TODAY()&gt;I5),"Payment overdue","Open")))))</f>
      </c>
    </row>
    <row r="6" spans="1:22" x14ac:dyDescent="0.25">
      <c r="A6" t="s">
        <v>30</v>
      </c>
      <c r="B6" t="s">
        <v>25</v>
      </c>
      <c r="C6" t="s">
        <v>26</v>
      </c>
      <c r="D6" t="s">
        <v>27</v>
      </c>
      <c r="E6" t="s">
        <v>28</v>
      </c>
      <c r="F6" s="5">
        <v>46295</v>
      </c>
      <c r="G6" s="5">
        <v>46296</v>
      </c>
      <c r="H6" s="5">
        <v>46325</v>
      </c>
      <c r="I6" s="5">
        <v>46325</v>
      </c>
      <c r="J6" s="6">
        <v>18000</v>
      </c>
      <c r="K6" s="6">
        <v>18000</v>
      </c>
      <c r="L6" s="6"/>
      <c r="M6" s="5"/>
      <c r="N6" s="6">
        <v>900</v>
      </c>
      <c r="O6" s="6">
        <v>0</v>
      </c>
      <c r="P6" t="s">
        <v>31</v>
      </c>
      <c r="Q6" s="7">
        <f>IF(OR(J6="",K6=""),"",J6-K6)</f>
      </c>
      <c r="R6" s="7">
        <f>IF(A6="","",IF(K6="",J6,K6)-N(L6))</f>
      </c>
      <c r="S6" s="7">
        <f>IF(A6="","",SUMIFS($N$5:N6,$C$5:C6,C6)-SUMIFS($O$5:O6,$C$5:C6,C6))</f>
      </c>
      <c r="T6" s="7">
        <f>IF(A6="","",SUMIFS(Variations!$I:$I,Variations!$G:$G,"Approved",Variations!$L:$L,C6,Variations!$M:$M,A6))</f>
      </c>
      <c r="U6" s="7">
        <f>IF(A6="","",SUMIFS(Variations!$H:$H,Variations!$G:$G,"Pending",Variations!$L:$L,C6,Variations!$M:$M,A6)+SUMIFS(Variations!$H:$H,Variations!$G:$G,"Submitted",Variations!$L:$L,C6,Variations!$M:$M,A6))</f>
      </c>
      <c r="V6" s="8">
        <f>IF(A6="","",IF(AND(L6&lt;&gt;"",L6&gt;=IF(K6="",J6,K6)),"Paid",IF(AND(K6&lt;&gt;"",K6=0),"Scheduled at $0",IF(AND(K6="",H6&lt;&gt;"",TODAY()&gt;H6),"Schedule date passed: none recorded",IF(AND(I6&lt;&gt;"",TODAY()&gt;I6),"Payment overdue","Open")))))</f>
      </c>
    </row>
    <row r="7" spans="1:22" x14ac:dyDescent="0.25">
      <c r="A7" t="s">
        <v>32</v>
      </c>
      <c r="B7" t="s">
        <v>33</v>
      </c>
      <c r="C7" t="s">
        <v>34</v>
      </c>
      <c r="D7" t="s">
        <v>35</v>
      </c>
      <c r="E7" t="s">
        <v>28</v>
      </c>
      <c r="F7" s="5">
        <v>46326</v>
      </c>
      <c r="G7" s="5">
        <v>46328</v>
      </c>
      <c r="H7" s="5">
        <v>46356</v>
      </c>
      <c r="I7" s="5">
        <v>46356</v>
      </c>
      <c r="J7" s="6">
        <v>9500</v>
      </c>
      <c r="K7" s="6"/>
      <c r="L7" s="6"/>
      <c r="M7" s="5"/>
      <c r="N7" s="6"/>
      <c r="O7" s="6"/>
      <c r="P7" t="s">
        <v>36</v>
      </c>
      <c r="Q7" s="7">
        <f>IF(OR(J7="",K7=""),"",J7-K7)</f>
      </c>
      <c r="R7" s="7">
        <f>IF(A7="","",IF(K7="",J7,K7)-N(L7))</f>
      </c>
      <c r="S7" s="7">
        <f>IF(A7="","",SUMIFS($N$5:N7,$C$5:C7,C7)-SUMIFS($O$5:O7,$C$5:C7,C7))</f>
      </c>
      <c r="T7" s="7">
        <f>IF(A7="","",SUMIFS(Variations!$I:$I,Variations!$G:$G,"Approved",Variations!$L:$L,C7,Variations!$M:$M,A7))</f>
      </c>
      <c r="U7" s="7">
        <f>IF(A7="","",SUMIFS(Variations!$H:$H,Variations!$G:$G,"Pending",Variations!$L:$L,C7,Variations!$M:$M,A7)+SUMIFS(Variations!$H:$H,Variations!$G:$G,"Submitted",Variations!$L:$L,C7,Variations!$M:$M,A7))</f>
      </c>
      <c r="V7" s="8">
        <f>IF(A7="","",IF(AND(L7&lt;&gt;"",L7&gt;=IF(K7="",J7,K7)),"Paid",IF(AND(K7&lt;&gt;"",K7=0),"Scheduled at $0",IF(AND(K7="",H7&lt;&gt;"",TODAY()&gt;H7),"Schedule date passed: none recorded",IF(AND(I7&lt;&gt;"",TODAY()&gt;I7),"Payment overdue","Open")))))</f>
      </c>
    </row>
    <row r="8" spans="2:22" x14ac:dyDescent="0.25">
      <c r="F8" s="5"/>
      <c r="G8" s="5"/>
      <c r="H8" s="5"/>
      <c r="I8" s="5"/>
      <c r="J8" s="6"/>
      <c r="K8" s="6"/>
      <c r="L8" s="6"/>
      <c r="M8" s="5"/>
      <c r="N8" s="6"/>
      <c r="O8" s="6"/>
      <c r="Q8" s="7">
        <f>IF(OR(J8="",K8=""),"",J8-K8)</f>
      </c>
      <c r="R8" s="7">
        <f>IF(A8="","",IF(K8="",J8,K8)-N(L8))</f>
      </c>
      <c r="S8" s="7">
        <f>IF(A8="","",SUMIFS($N$5:N8,$C$5:C8,C8)-SUMIFS($O$5:O8,$C$5:C8,C8))</f>
      </c>
      <c r="T8" s="7">
        <f>IF(A8="","",SUMIFS(Variations!$I:$I,Variations!$G:$G,"Approved",Variations!$L:$L,C8,Variations!$M:$M,A8))</f>
      </c>
      <c r="U8" s="7">
        <f>IF(A8="","",SUMIFS(Variations!$H:$H,Variations!$G:$G,"Pending",Variations!$L:$L,C8,Variations!$M:$M,A8)+SUMIFS(Variations!$H:$H,Variations!$G:$G,"Submitted",Variations!$L:$L,C8,Variations!$M:$M,A8))</f>
      </c>
      <c r="V8" s="8">
        <f>IF(A8="","",IF(AND(L8&lt;&gt;"",L8&gt;=IF(K8="",J8,K8)),"Paid",IF(AND(K8&lt;&gt;"",K8=0),"Scheduled at $0",IF(AND(K8="",H8&lt;&gt;"",TODAY()&gt;H8),"Schedule date passed: none recorded",IF(AND(I8&lt;&gt;"",TODAY()&gt;I8),"Payment overdue","Open")))))</f>
      </c>
    </row>
    <row r="9" spans="2:22" x14ac:dyDescent="0.25">
      <c r="F9" s="5"/>
      <c r="G9" s="5"/>
      <c r="H9" s="5"/>
      <c r="I9" s="5"/>
      <c r="J9" s="6"/>
      <c r="K9" s="6"/>
      <c r="L9" s="6"/>
      <c r="M9" s="5"/>
      <c r="N9" s="6"/>
      <c r="O9" s="6"/>
      <c r="Q9" s="7">
        <f>IF(OR(J9="",K9=""),"",J9-K9)</f>
      </c>
      <c r="R9" s="7">
        <f>IF(A9="","",IF(K9="",J9,K9)-N(L9))</f>
      </c>
      <c r="S9" s="7">
        <f>IF(A9="","",SUMIFS($N$5:N9,$C$5:C9,C9)-SUMIFS($O$5:O9,$C$5:C9,C9))</f>
      </c>
      <c r="T9" s="7">
        <f>IF(A9="","",SUMIFS(Variations!$I:$I,Variations!$G:$G,"Approved",Variations!$L:$L,C9,Variations!$M:$M,A9))</f>
      </c>
      <c r="U9" s="7">
        <f>IF(A9="","",SUMIFS(Variations!$H:$H,Variations!$G:$G,"Pending",Variations!$L:$L,C9,Variations!$M:$M,A9)+SUMIFS(Variations!$H:$H,Variations!$G:$G,"Submitted",Variations!$L:$L,C9,Variations!$M:$M,A9))</f>
      </c>
      <c r="V9" s="8">
        <f>IF(A9="","",IF(AND(L9&lt;&gt;"",L9&gt;=IF(K9="",J9,K9)),"Paid",IF(AND(K9&lt;&gt;"",K9=0),"Scheduled at $0",IF(AND(K9="",H9&lt;&gt;"",TODAY()&gt;H9),"Schedule date passed: none recorded",IF(AND(I9&lt;&gt;"",TODAY()&gt;I9),"Payment overdue","Open")))))</f>
      </c>
    </row>
    <row r="10" spans="2:22" x14ac:dyDescent="0.25">
      <c r="F10" s="5"/>
      <c r="G10" s="5"/>
      <c r="H10" s="5"/>
      <c r="I10" s="5"/>
      <c r="J10" s="6"/>
      <c r="K10" s="6"/>
      <c r="L10" s="6"/>
      <c r="M10" s="5"/>
      <c r="N10" s="6"/>
      <c r="O10" s="6"/>
      <c r="Q10" s="7">
        <f>IF(OR(J10="",K10=""),"",J10-K10)</f>
      </c>
      <c r="R10" s="7">
        <f>IF(A10="","",IF(K10="",J10,K10)-N(L10))</f>
      </c>
      <c r="S10" s="7">
        <f>IF(A10="","",SUMIFS($N$5:N10,$C$5:C10,C10)-SUMIFS($O$5:O10,$C$5:C10,C10))</f>
      </c>
      <c r="T10" s="7">
        <f>IF(A10="","",SUMIFS(Variations!$I:$I,Variations!$G:$G,"Approved",Variations!$L:$L,C10,Variations!$M:$M,A10))</f>
      </c>
      <c r="U10" s="7">
        <f>IF(A10="","",SUMIFS(Variations!$H:$H,Variations!$G:$G,"Pending",Variations!$L:$L,C10,Variations!$M:$M,A10)+SUMIFS(Variations!$H:$H,Variations!$G:$G,"Submitted",Variations!$L:$L,C10,Variations!$M:$M,A10))</f>
      </c>
      <c r="V10" s="8">
        <f>IF(A10="","",IF(AND(L10&lt;&gt;"",L10&gt;=IF(K10="",J10,K10)),"Paid",IF(AND(K10&lt;&gt;"",K10=0),"Scheduled at $0",IF(AND(K10="",H10&lt;&gt;"",TODAY()&gt;H10),"Schedule date passed: none recorded",IF(AND(I10&lt;&gt;"",TODAY()&gt;I10),"Payment overdue","Open")))))</f>
      </c>
    </row>
    <row r="11" spans="2:22" x14ac:dyDescent="0.25">
      <c r="F11" s="5"/>
      <c r="G11" s="5"/>
      <c r="H11" s="5"/>
      <c r="I11" s="5"/>
      <c r="J11" s="6"/>
      <c r="K11" s="6"/>
      <c r="L11" s="6"/>
      <c r="M11" s="5"/>
      <c r="N11" s="6"/>
      <c r="O11" s="6"/>
      <c r="Q11" s="7">
        <f>IF(OR(J11="",K11=""),"",J11-K11)</f>
      </c>
      <c r="R11" s="7">
        <f>IF(A11="","",IF(K11="",J11,K11)-N(L11))</f>
      </c>
      <c r="S11" s="7">
        <f>IF(A11="","",SUMIFS($N$5:N11,$C$5:C11,C11)-SUMIFS($O$5:O11,$C$5:C11,C11))</f>
      </c>
      <c r="T11" s="7">
        <f>IF(A11="","",SUMIFS(Variations!$I:$I,Variations!$G:$G,"Approved",Variations!$L:$L,C11,Variations!$M:$M,A11))</f>
      </c>
      <c r="U11" s="7">
        <f>IF(A11="","",SUMIFS(Variations!$H:$H,Variations!$G:$G,"Pending",Variations!$L:$L,C11,Variations!$M:$M,A11)+SUMIFS(Variations!$H:$H,Variations!$G:$G,"Submitted",Variations!$L:$L,C11,Variations!$M:$M,A11))</f>
      </c>
      <c r="V11" s="8">
        <f>IF(A11="","",IF(AND(L11&lt;&gt;"",L11&gt;=IF(K11="",J11,K11)),"Paid",IF(AND(K11&lt;&gt;"",K11=0),"Scheduled at $0",IF(AND(K11="",H11&lt;&gt;"",TODAY()&gt;H11),"Schedule date passed: none recorded",IF(AND(I11&lt;&gt;"",TODAY()&gt;I11),"Payment overdue","Open")))))</f>
      </c>
    </row>
    <row r="12" spans="2:22" x14ac:dyDescent="0.25">
      <c r="F12" s="5"/>
      <c r="G12" s="5"/>
      <c r="H12" s="5"/>
      <c r="I12" s="5"/>
      <c r="J12" s="6"/>
      <c r="K12" s="6"/>
      <c r="L12" s="6"/>
      <c r="M12" s="5"/>
      <c r="N12" s="6"/>
      <c r="O12" s="6"/>
      <c r="Q12" s="7">
        <f>IF(OR(J12="",K12=""),"",J12-K12)</f>
      </c>
      <c r="R12" s="7">
        <f>IF(A12="","",IF(K12="",J12,K12)-N(L12))</f>
      </c>
      <c r="S12" s="7">
        <f>IF(A12="","",SUMIFS($N$5:N12,$C$5:C12,C12)-SUMIFS($O$5:O12,$C$5:C12,C12))</f>
      </c>
      <c r="T12" s="7">
        <f>IF(A12="","",SUMIFS(Variations!$I:$I,Variations!$G:$G,"Approved",Variations!$L:$L,C12,Variations!$M:$M,A12))</f>
      </c>
      <c r="U12" s="7">
        <f>IF(A12="","",SUMIFS(Variations!$H:$H,Variations!$G:$G,"Pending",Variations!$L:$L,C12,Variations!$M:$M,A12)+SUMIFS(Variations!$H:$H,Variations!$G:$G,"Submitted",Variations!$L:$L,C12,Variations!$M:$M,A12))</f>
      </c>
      <c r="V12" s="8">
        <f>IF(A12="","",IF(AND(L12&lt;&gt;"",L12&gt;=IF(K12="",J12,K12)),"Paid",IF(AND(K12&lt;&gt;"",K12=0),"Scheduled at $0",IF(AND(K12="",H12&lt;&gt;"",TODAY()&gt;H12),"Schedule date passed: none recorded",IF(AND(I12&lt;&gt;"",TODAY()&gt;I12),"Payment overdue","Open")))))</f>
      </c>
    </row>
    <row r="13" spans="2:22" x14ac:dyDescent="0.25">
      <c r="F13" s="5"/>
      <c r="G13" s="5"/>
      <c r="H13" s="5"/>
      <c r="I13" s="5"/>
      <c r="J13" s="6"/>
      <c r="K13" s="6"/>
      <c r="L13" s="6"/>
      <c r="M13" s="5"/>
      <c r="N13" s="6"/>
      <c r="O13" s="6"/>
      <c r="Q13" s="7">
        <f>IF(OR(J13="",K13=""),"",J13-K13)</f>
      </c>
      <c r="R13" s="7">
        <f>IF(A13="","",IF(K13="",J13,K13)-N(L13))</f>
      </c>
      <c r="S13" s="7">
        <f>IF(A13="","",SUMIFS($N$5:N13,$C$5:C13,C13)-SUMIFS($O$5:O13,$C$5:C13,C13))</f>
      </c>
      <c r="T13" s="7">
        <f>IF(A13="","",SUMIFS(Variations!$I:$I,Variations!$G:$G,"Approved",Variations!$L:$L,C13,Variations!$M:$M,A13))</f>
      </c>
      <c r="U13" s="7">
        <f>IF(A13="","",SUMIFS(Variations!$H:$H,Variations!$G:$G,"Pending",Variations!$L:$L,C13,Variations!$M:$M,A13)+SUMIFS(Variations!$H:$H,Variations!$G:$G,"Submitted",Variations!$L:$L,C13,Variations!$M:$M,A13))</f>
      </c>
      <c r="V13" s="8">
        <f>IF(A13="","",IF(AND(L13&lt;&gt;"",L13&gt;=IF(K13="",J13,K13)),"Paid",IF(AND(K13&lt;&gt;"",K13=0),"Scheduled at $0",IF(AND(K13="",H13&lt;&gt;"",TODAY()&gt;H13),"Schedule date passed: none recorded",IF(AND(I13&lt;&gt;"",TODAY()&gt;I13),"Payment overdue","Open")))))</f>
      </c>
    </row>
    <row r="14" spans="2:22" x14ac:dyDescent="0.25">
      <c r="F14" s="5"/>
      <c r="G14" s="5"/>
      <c r="H14" s="5"/>
      <c r="I14" s="5"/>
      <c r="J14" s="6"/>
      <c r="K14" s="6"/>
      <c r="L14" s="6"/>
      <c r="M14" s="5"/>
      <c r="N14" s="6"/>
      <c r="O14" s="6"/>
      <c r="Q14" s="7">
        <f>IF(OR(J14="",K14=""),"",J14-K14)</f>
      </c>
      <c r="R14" s="7">
        <f>IF(A14="","",IF(K14="",J14,K14)-N(L14))</f>
      </c>
      <c r="S14" s="7">
        <f>IF(A14="","",SUMIFS($N$5:N14,$C$5:C14,C14)-SUMIFS($O$5:O14,$C$5:C14,C14))</f>
      </c>
      <c r="T14" s="7">
        <f>IF(A14="","",SUMIFS(Variations!$I:$I,Variations!$G:$G,"Approved",Variations!$L:$L,C14,Variations!$M:$M,A14))</f>
      </c>
      <c r="U14" s="7">
        <f>IF(A14="","",SUMIFS(Variations!$H:$H,Variations!$G:$G,"Pending",Variations!$L:$L,C14,Variations!$M:$M,A14)+SUMIFS(Variations!$H:$H,Variations!$G:$G,"Submitted",Variations!$L:$L,C14,Variations!$M:$M,A14))</f>
      </c>
      <c r="V14" s="8">
        <f>IF(A14="","",IF(AND(L14&lt;&gt;"",L14&gt;=IF(K14="",J14,K14)),"Paid",IF(AND(K14&lt;&gt;"",K14=0),"Scheduled at $0",IF(AND(K14="",H14&lt;&gt;"",TODAY()&gt;H14),"Schedule date passed: none recorded",IF(AND(I14&lt;&gt;"",TODAY()&gt;I14),"Payment overdue","Open")))))</f>
      </c>
    </row>
    <row r="15" spans="2:22" x14ac:dyDescent="0.25">
      <c r="F15" s="5"/>
      <c r="G15" s="5"/>
      <c r="H15" s="5"/>
      <c r="I15" s="5"/>
      <c r="J15" s="6"/>
      <c r="K15" s="6"/>
      <c r="L15" s="6"/>
      <c r="M15" s="5"/>
      <c r="N15" s="6"/>
      <c r="O15" s="6"/>
      <c r="Q15" s="7">
        <f>IF(OR(J15="",K15=""),"",J15-K15)</f>
      </c>
      <c r="R15" s="7">
        <f>IF(A15="","",IF(K15="",J15,K15)-N(L15))</f>
      </c>
      <c r="S15" s="7">
        <f>IF(A15="","",SUMIFS($N$5:N15,$C$5:C15,C15)-SUMIFS($O$5:O15,$C$5:C15,C15))</f>
      </c>
      <c r="T15" s="7">
        <f>IF(A15="","",SUMIFS(Variations!$I:$I,Variations!$G:$G,"Approved",Variations!$L:$L,C15,Variations!$M:$M,A15))</f>
      </c>
      <c r="U15" s="7">
        <f>IF(A15="","",SUMIFS(Variations!$H:$H,Variations!$G:$G,"Pending",Variations!$L:$L,C15,Variations!$M:$M,A15)+SUMIFS(Variations!$H:$H,Variations!$G:$G,"Submitted",Variations!$L:$L,C15,Variations!$M:$M,A15))</f>
      </c>
      <c r="V15" s="8">
        <f>IF(A15="","",IF(AND(L15&lt;&gt;"",L15&gt;=IF(K15="",J15,K15)),"Paid",IF(AND(K15&lt;&gt;"",K15=0),"Scheduled at $0",IF(AND(K15="",H15&lt;&gt;"",TODAY()&gt;H15),"Schedule date passed: none recorded",IF(AND(I15&lt;&gt;"",TODAY()&gt;I15),"Payment overdue","Open")))))</f>
      </c>
    </row>
    <row r="16" spans="2:22" x14ac:dyDescent="0.25">
      <c r="F16" s="5"/>
      <c r="G16" s="5"/>
      <c r="H16" s="5"/>
      <c r="I16" s="5"/>
      <c r="J16" s="6"/>
      <c r="K16" s="6"/>
      <c r="L16" s="6"/>
      <c r="M16" s="5"/>
      <c r="N16" s="6"/>
      <c r="O16" s="6"/>
      <c r="Q16" s="7">
        <f>IF(OR(J16="",K16=""),"",J16-K16)</f>
      </c>
      <c r="R16" s="7">
        <f>IF(A16="","",IF(K16="",J16,K16)-N(L16))</f>
      </c>
      <c r="S16" s="7">
        <f>IF(A16="","",SUMIFS($N$5:N16,$C$5:C16,C16)-SUMIFS($O$5:O16,$C$5:C16,C16))</f>
      </c>
      <c r="T16" s="7">
        <f>IF(A16="","",SUMIFS(Variations!$I:$I,Variations!$G:$G,"Approved",Variations!$L:$L,C16,Variations!$M:$M,A16))</f>
      </c>
      <c r="U16" s="7">
        <f>IF(A16="","",SUMIFS(Variations!$H:$H,Variations!$G:$G,"Pending",Variations!$L:$L,C16,Variations!$M:$M,A16)+SUMIFS(Variations!$H:$H,Variations!$G:$G,"Submitted",Variations!$L:$L,C16,Variations!$M:$M,A16))</f>
      </c>
      <c r="V16" s="8">
        <f>IF(A16="","",IF(AND(L16&lt;&gt;"",L16&gt;=IF(K16="",J16,K16)),"Paid",IF(AND(K16&lt;&gt;"",K16=0),"Scheduled at $0",IF(AND(K16="",H16&lt;&gt;"",TODAY()&gt;H16),"Schedule date passed: none recorded",IF(AND(I16&lt;&gt;"",TODAY()&gt;I16),"Payment overdue","Open")))))</f>
      </c>
    </row>
    <row r="17" spans="2:22" x14ac:dyDescent="0.25">
      <c r="F17" s="5"/>
      <c r="G17" s="5"/>
      <c r="H17" s="5"/>
      <c r="I17" s="5"/>
      <c r="J17" s="6"/>
      <c r="K17" s="6"/>
      <c r="L17" s="6"/>
      <c r="M17" s="5"/>
      <c r="N17" s="6"/>
      <c r="O17" s="6"/>
      <c r="Q17" s="7">
        <f>IF(OR(J17="",K17=""),"",J17-K17)</f>
      </c>
      <c r="R17" s="7">
        <f>IF(A17="","",IF(K17="",J17,K17)-N(L17))</f>
      </c>
      <c r="S17" s="7">
        <f>IF(A17="","",SUMIFS($N$5:N17,$C$5:C17,C17)-SUMIFS($O$5:O17,$C$5:C17,C17))</f>
      </c>
      <c r="T17" s="7">
        <f>IF(A17="","",SUMIFS(Variations!$I:$I,Variations!$G:$G,"Approved",Variations!$L:$L,C17,Variations!$M:$M,A17))</f>
      </c>
      <c r="U17" s="7">
        <f>IF(A17="","",SUMIFS(Variations!$H:$H,Variations!$G:$G,"Pending",Variations!$L:$L,C17,Variations!$M:$M,A17)+SUMIFS(Variations!$H:$H,Variations!$G:$G,"Submitted",Variations!$L:$L,C17,Variations!$M:$M,A17))</f>
      </c>
      <c r="V17" s="8">
        <f>IF(A17="","",IF(AND(L17&lt;&gt;"",L17&gt;=IF(K17="",J17,K17)),"Paid",IF(AND(K17&lt;&gt;"",K17=0),"Scheduled at $0",IF(AND(K17="",H17&lt;&gt;"",TODAY()&gt;H17),"Schedule date passed: none recorded",IF(AND(I17&lt;&gt;"",TODAY()&gt;I17),"Payment overdue","Open")))))</f>
      </c>
    </row>
    <row r="18" spans="2:22" x14ac:dyDescent="0.25">
      <c r="F18" s="5"/>
      <c r="G18" s="5"/>
      <c r="H18" s="5"/>
      <c r="I18" s="5"/>
      <c r="J18" s="6"/>
      <c r="K18" s="6"/>
      <c r="L18" s="6"/>
      <c r="M18" s="5"/>
      <c r="N18" s="6"/>
      <c r="O18" s="6"/>
      <c r="Q18" s="7">
        <f>IF(OR(J18="",K18=""),"",J18-K18)</f>
      </c>
      <c r="R18" s="7">
        <f>IF(A18="","",IF(K18="",J18,K18)-N(L18))</f>
      </c>
      <c r="S18" s="7">
        <f>IF(A18="","",SUMIFS($N$5:N18,$C$5:C18,C18)-SUMIFS($O$5:O18,$C$5:C18,C18))</f>
      </c>
      <c r="T18" s="7">
        <f>IF(A18="","",SUMIFS(Variations!$I:$I,Variations!$G:$G,"Approved",Variations!$L:$L,C18,Variations!$M:$M,A18))</f>
      </c>
      <c r="U18" s="7">
        <f>IF(A18="","",SUMIFS(Variations!$H:$H,Variations!$G:$G,"Pending",Variations!$L:$L,C18,Variations!$M:$M,A18)+SUMIFS(Variations!$H:$H,Variations!$G:$G,"Submitted",Variations!$L:$L,C18,Variations!$M:$M,A18))</f>
      </c>
      <c r="V18" s="8">
        <f>IF(A18="","",IF(AND(L18&lt;&gt;"",L18&gt;=IF(K18="",J18,K18)),"Paid",IF(AND(K18&lt;&gt;"",K18=0),"Scheduled at $0",IF(AND(K18="",H18&lt;&gt;"",TODAY()&gt;H18),"Schedule date passed: none recorded",IF(AND(I18&lt;&gt;"",TODAY()&gt;I18),"Payment overdue","Open")))))</f>
      </c>
    </row>
    <row r="19" spans="2:22" x14ac:dyDescent="0.25">
      <c r="F19" s="5"/>
      <c r="G19" s="5"/>
      <c r="H19" s="5"/>
      <c r="I19" s="5"/>
      <c r="J19" s="6"/>
      <c r="K19" s="6"/>
      <c r="L19" s="6"/>
      <c r="M19" s="5"/>
      <c r="N19" s="6"/>
      <c r="O19" s="6"/>
      <c r="Q19" s="7">
        <f>IF(OR(J19="",K19=""),"",J19-K19)</f>
      </c>
      <c r="R19" s="7">
        <f>IF(A19="","",IF(K19="",J19,K19)-N(L19))</f>
      </c>
      <c r="S19" s="7">
        <f>IF(A19="","",SUMIFS($N$5:N19,$C$5:C19,C19)-SUMIFS($O$5:O19,$C$5:C19,C19))</f>
      </c>
      <c r="T19" s="7">
        <f>IF(A19="","",SUMIFS(Variations!$I:$I,Variations!$G:$G,"Approved",Variations!$L:$L,C19,Variations!$M:$M,A19))</f>
      </c>
      <c r="U19" s="7">
        <f>IF(A19="","",SUMIFS(Variations!$H:$H,Variations!$G:$G,"Pending",Variations!$L:$L,C19,Variations!$M:$M,A19)+SUMIFS(Variations!$H:$H,Variations!$G:$G,"Submitted",Variations!$L:$L,C19,Variations!$M:$M,A19))</f>
      </c>
      <c r="V19" s="8">
        <f>IF(A19="","",IF(AND(L19&lt;&gt;"",L19&gt;=IF(K19="",J19,K19)),"Paid",IF(AND(K19&lt;&gt;"",K19=0),"Scheduled at $0",IF(AND(K19="",H19&lt;&gt;"",TODAY()&gt;H19),"Schedule date passed: none recorded",IF(AND(I19&lt;&gt;"",TODAY()&gt;I19),"Payment overdue","Open")))))</f>
      </c>
    </row>
    <row r="20" spans="2:22" x14ac:dyDescent="0.25">
      <c r="F20" s="5"/>
      <c r="G20" s="5"/>
      <c r="H20" s="5"/>
      <c r="I20" s="5"/>
      <c r="J20" s="6"/>
      <c r="K20" s="6"/>
      <c r="L20" s="6"/>
      <c r="M20" s="5"/>
      <c r="N20" s="6"/>
      <c r="O20" s="6"/>
      <c r="Q20" s="7">
        <f>IF(OR(J20="",K20=""),"",J20-K20)</f>
      </c>
      <c r="R20" s="7">
        <f>IF(A20="","",IF(K20="",J20,K20)-N(L20))</f>
      </c>
      <c r="S20" s="7">
        <f>IF(A20="","",SUMIFS($N$5:N20,$C$5:C20,C20)-SUMIFS($O$5:O20,$C$5:C20,C20))</f>
      </c>
      <c r="T20" s="7">
        <f>IF(A20="","",SUMIFS(Variations!$I:$I,Variations!$G:$G,"Approved",Variations!$L:$L,C20,Variations!$M:$M,A20))</f>
      </c>
      <c r="U20" s="7">
        <f>IF(A20="","",SUMIFS(Variations!$H:$H,Variations!$G:$G,"Pending",Variations!$L:$L,C20,Variations!$M:$M,A20)+SUMIFS(Variations!$H:$H,Variations!$G:$G,"Submitted",Variations!$L:$L,C20,Variations!$M:$M,A20))</f>
      </c>
      <c r="V20" s="8">
        <f>IF(A20="","",IF(AND(L20&lt;&gt;"",L20&gt;=IF(K20="",J20,K20)),"Paid",IF(AND(K20&lt;&gt;"",K20=0),"Scheduled at $0",IF(AND(K20="",H20&lt;&gt;"",TODAY()&gt;H20),"Schedule date passed: none recorded",IF(AND(I20&lt;&gt;"",TODAY()&gt;I20),"Payment overdue","Open")))))</f>
      </c>
    </row>
    <row r="21" spans="2:22" x14ac:dyDescent="0.25">
      <c r="F21" s="5"/>
      <c r="G21" s="5"/>
      <c r="H21" s="5"/>
      <c r="I21" s="5"/>
      <c r="J21" s="6"/>
      <c r="K21" s="6"/>
      <c r="L21" s="6"/>
      <c r="M21" s="5"/>
      <c r="N21" s="6"/>
      <c r="O21" s="6"/>
      <c r="Q21" s="7">
        <f>IF(OR(J21="",K21=""),"",J21-K21)</f>
      </c>
      <c r="R21" s="7">
        <f>IF(A21="","",IF(K21="",J21,K21)-N(L21))</f>
      </c>
      <c r="S21" s="7">
        <f>IF(A21="","",SUMIFS($N$5:N21,$C$5:C21,C21)-SUMIFS($O$5:O21,$C$5:C21,C21))</f>
      </c>
      <c r="T21" s="7">
        <f>IF(A21="","",SUMIFS(Variations!$I:$I,Variations!$G:$G,"Approved",Variations!$L:$L,C21,Variations!$M:$M,A21))</f>
      </c>
      <c r="U21" s="7">
        <f>IF(A21="","",SUMIFS(Variations!$H:$H,Variations!$G:$G,"Pending",Variations!$L:$L,C21,Variations!$M:$M,A21)+SUMIFS(Variations!$H:$H,Variations!$G:$G,"Submitted",Variations!$L:$L,C21,Variations!$M:$M,A21))</f>
      </c>
      <c r="V21" s="8">
        <f>IF(A21="","",IF(AND(L21&lt;&gt;"",L21&gt;=IF(K21="",J21,K21)),"Paid",IF(AND(K21&lt;&gt;"",K21=0),"Scheduled at $0",IF(AND(K21="",H21&lt;&gt;"",TODAY()&gt;H21),"Schedule date passed: none recorded",IF(AND(I21&lt;&gt;"",TODAY()&gt;I21),"Payment overdue","Open")))))</f>
      </c>
    </row>
    <row r="22" spans="2:22" x14ac:dyDescent="0.25">
      <c r="F22" s="5"/>
      <c r="G22" s="5"/>
      <c r="H22" s="5"/>
      <c r="I22" s="5"/>
      <c r="J22" s="6"/>
      <c r="K22" s="6"/>
      <c r="L22" s="6"/>
      <c r="M22" s="5"/>
      <c r="N22" s="6"/>
      <c r="O22" s="6"/>
      <c r="Q22" s="7">
        <f>IF(OR(J22="",K22=""),"",J22-K22)</f>
      </c>
      <c r="R22" s="7">
        <f>IF(A22="","",IF(K22="",J22,K22)-N(L22))</f>
      </c>
      <c r="S22" s="7">
        <f>IF(A22="","",SUMIFS($N$5:N22,$C$5:C22,C22)-SUMIFS($O$5:O22,$C$5:C22,C22))</f>
      </c>
      <c r="T22" s="7">
        <f>IF(A22="","",SUMIFS(Variations!$I:$I,Variations!$G:$G,"Approved",Variations!$L:$L,C22,Variations!$M:$M,A22))</f>
      </c>
      <c r="U22" s="7">
        <f>IF(A22="","",SUMIFS(Variations!$H:$H,Variations!$G:$G,"Pending",Variations!$L:$L,C22,Variations!$M:$M,A22)+SUMIFS(Variations!$H:$H,Variations!$G:$G,"Submitted",Variations!$L:$L,C22,Variations!$M:$M,A22))</f>
      </c>
      <c r="V22" s="8">
        <f>IF(A22="","",IF(AND(L22&lt;&gt;"",L22&gt;=IF(K22="",J22,K22)),"Paid",IF(AND(K22&lt;&gt;"",K22=0),"Scheduled at $0",IF(AND(K22="",H22&lt;&gt;"",TODAY()&gt;H22),"Schedule date passed: none recorded",IF(AND(I22&lt;&gt;"",TODAY()&gt;I22),"Payment overdue","Open")))))</f>
      </c>
    </row>
    <row r="23" spans="2:22" x14ac:dyDescent="0.25">
      <c r="F23" s="5"/>
      <c r="G23" s="5"/>
      <c r="H23" s="5"/>
      <c r="I23" s="5"/>
      <c r="J23" s="6"/>
      <c r="K23" s="6"/>
      <c r="L23" s="6"/>
      <c r="M23" s="5"/>
      <c r="N23" s="6"/>
      <c r="O23" s="6"/>
      <c r="Q23" s="7">
        <f>IF(OR(J23="",K23=""),"",J23-K23)</f>
      </c>
      <c r="R23" s="7">
        <f>IF(A23="","",IF(K23="",J23,K23)-N(L23))</f>
      </c>
      <c r="S23" s="7">
        <f>IF(A23="","",SUMIFS($N$5:N23,$C$5:C23,C23)-SUMIFS($O$5:O23,$C$5:C23,C23))</f>
      </c>
      <c r="T23" s="7">
        <f>IF(A23="","",SUMIFS(Variations!$I:$I,Variations!$G:$G,"Approved",Variations!$L:$L,C23,Variations!$M:$M,A23))</f>
      </c>
      <c r="U23" s="7">
        <f>IF(A23="","",SUMIFS(Variations!$H:$H,Variations!$G:$G,"Pending",Variations!$L:$L,C23,Variations!$M:$M,A23)+SUMIFS(Variations!$H:$H,Variations!$G:$G,"Submitted",Variations!$L:$L,C23,Variations!$M:$M,A23))</f>
      </c>
      <c r="V23" s="8">
        <f>IF(A23="","",IF(AND(L23&lt;&gt;"",L23&gt;=IF(K23="",J23,K23)),"Paid",IF(AND(K23&lt;&gt;"",K23=0),"Scheduled at $0",IF(AND(K23="",H23&lt;&gt;"",TODAY()&gt;H23),"Schedule date passed: none recorded",IF(AND(I23&lt;&gt;"",TODAY()&gt;I23),"Payment overdue","Open")))))</f>
      </c>
    </row>
    <row r="24" spans="2:22" x14ac:dyDescent="0.25">
      <c r="F24" s="5"/>
      <c r="G24" s="5"/>
      <c r="H24" s="5"/>
      <c r="I24" s="5"/>
      <c r="J24" s="6"/>
      <c r="K24" s="6"/>
      <c r="L24" s="6"/>
      <c r="M24" s="5"/>
      <c r="N24" s="6"/>
      <c r="O24" s="6"/>
      <c r="Q24" s="7">
        <f>IF(OR(J24="",K24=""),"",J24-K24)</f>
      </c>
      <c r="R24" s="7">
        <f>IF(A24="","",IF(K24="",J24,K24)-N(L24))</f>
      </c>
      <c r="S24" s="7">
        <f>IF(A24="","",SUMIFS($N$5:N24,$C$5:C24,C24)-SUMIFS($O$5:O24,$C$5:C24,C24))</f>
      </c>
      <c r="T24" s="7">
        <f>IF(A24="","",SUMIFS(Variations!$I:$I,Variations!$G:$G,"Approved",Variations!$L:$L,C24,Variations!$M:$M,A24))</f>
      </c>
      <c r="U24" s="7">
        <f>IF(A24="","",SUMIFS(Variations!$H:$H,Variations!$G:$G,"Pending",Variations!$L:$L,C24,Variations!$M:$M,A24)+SUMIFS(Variations!$H:$H,Variations!$G:$G,"Submitted",Variations!$L:$L,C24,Variations!$M:$M,A24))</f>
      </c>
      <c r="V24" s="8">
        <f>IF(A24="","",IF(AND(L24&lt;&gt;"",L24&gt;=IF(K24="",J24,K24)),"Paid",IF(AND(K24&lt;&gt;"",K24=0),"Scheduled at $0",IF(AND(K24="",H24&lt;&gt;"",TODAY()&gt;H24),"Schedule date passed: none recorded",IF(AND(I24&lt;&gt;"",TODAY()&gt;I24),"Payment overdue","Open")))))</f>
      </c>
    </row>
    <row r="25" spans="2:22" x14ac:dyDescent="0.25">
      <c r="F25" s="5"/>
      <c r="G25" s="5"/>
      <c r="H25" s="5"/>
      <c r="I25" s="5"/>
      <c r="J25" s="6"/>
      <c r="K25" s="6"/>
      <c r="L25" s="6"/>
      <c r="M25" s="5"/>
      <c r="N25" s="6"/>
      <c r="O25" s="6"/>
      <c r="Q25" s="7">
        <f>IF(OR(J25="",K25=""),"",J25-K25)</f>
      </c>
      <c r="R25" s="7">
        <f>IF(A25="","",IF(K25="",J25,K25)-N(L25))</f>
      </c>
      <c r="S25" s="7">
        <f>IF(A25="","",SUMIFS($N$5:N25,$C$5:C25,C25)-SUMIFS($O$5:O25,$C$5:C25,C25))</f>
      </c>
      <c r="T25" s="7">
        <f>IF(A25="","",SUMIFS(Variations!$I:$I,Variations!$G:$G,"Approved",Variations!$L:$L,C25,Variations!$M:$M,A25))</f>
      </c>
      <c r="U25" s="7">
        <f>IF(A25="","",SUMIFS(Variations!$H:$H,Variations!$G:$G,"Pending",Variations!$L:$L,C25,Variations!$M:$M,A25)+SUMIFS(Variations!$H:$H,Variations!$G:$G,"Submitted",Variations!$L:$L,C25,Variations!$M:$M,A25))</f>
      </c>
      <c r="V25" s="8">
        <f>IF(A25="","",IF(AND(L25&lt;&gt;"",L25&gt;=IF(K25="",J25,K25)),"Paid",IF(AND(K25&lt;&gt;"",K25=0),"Scheduled at $0",IF(AND(K25="",H25&lt;&gt;"",TODAY()&gt;H25),"Schedule date passed: none recorded",IF(AND(I25&lt;&gt;"",TODAY()&gt;I25),"Payment overdue","Open")))))</f>
      </c>
    </row>
    <row r="26" spans="2:22" x14ac:dyDescent="0.25">
      <c r="F26" s="5"/>
      <c r="G26" s="5"/>
      <c r="H26" s="5"/>
      <c r="I26" s="5"/>
      <c r="J26" s="6"/>
      <c r="K26" s="6"/>
      <c r="L26" s="6"/>
      <c r="M26" s="5"/>
      <c r="N26" s="6"/>
      <c r="O26" s="6"/>
      <c r="Q26" s="7">
        <f>IF(OR(J26="",K26=""),"",J26-K26)</f>
      </c>
      <c r="R26" s="7">
        <f>IF(A26="","",IF(K26="",J26,K26)-N(L26))</f>
      </c>
      <c r="S26" s="7">
        <f>IF(A26="","",SUMIFS($N$5:N26,$C$5:C26,C26)-SUMIFS($O$5:O26,$C$5:C26,C26))</f>
      </c>
      <c r="T26" s="7">
        <f>IF(A26="","",SUMIFS(Variations!$I:$I,Variations!$G:$G,"Approved",Variations!$L:$L,C26,Variations!$M:$M,A26))</f>
      </c>
      <c r="U26" s="7">
        <f>IF(A26="","",SUMIFS(Variations!$H:$H,Variations!$G:$G,"Pending",Variations!$L:$L,C26,Variations!$M:$M,A26)+SUMIFS(Variations!$H:$H,Variations!$G:$G,"Submitted",Variations!$L:$L,C26,Variations!$M:$M,A26))</f>
      </c>
      <c r="V26" s="8">
        <f>IF(A26="","",IF(AND(L26&lt;&gt;"",L26&gt;=IF(K26="",J26,K26)),"Paid",IF(AND(K26&lt;&gt;"",K26=0),"Scheduled at $0",IF(AND(K26="",H26&lt;&gt;"",TODAY()&gt;H26),"Schedule date passed: none recorded",IF(AND(I26&lt;&gt;"",TODAY()&gt;I26),"Payment overdue","Open")))))</f>
      </c>
    </row>
    <row r="27" spans="2:22" x14ac:dyDescent="0.25">
      <c r="F27" s="5"/>
      <c r="G27" s="5"/>
      <c r="H27" s="5"/>
      <c r="I27" s="5"/>
      <c r="J27" s="6"/>
      <c r="K27" s="6"/>
      <c r="L27" s="6"/>
      <c r="M27" s="5"/>
      <c r="N27" s="6"/>
      <c r="O27" s="6"/>
      <c r="Q27" s="7">
        <f>IF(OR(J27="",K27=""),"",J27-K27)</f>
      </c>
      <c r="R27" s="7">
        <f>IF(A27="","",IF(K27="",J27,K27)-N(L27))</f>
      </c>
      <c r="S27" s="7">
        <f>IF(A27="","",SUMIFS($N$5:N27,$C$5:C27,C27)-SUMIFS($O$5:O27,$C$5:C27,C27))</f>
      </c>
      <c r="T27" s="7">
        <f>IF(A27="","",SUMIFS(Variations!$I:$I,Variations!$G:$G,"Approved",Variations!$L:$L,C27,Variations!$M:$M,A27))</f>
      </c>
      <c r="U27" s="7">
        <f>IF(A27="","",SUMIFS(Variations!$H:$H,Variations!$G:$G,"Pending",Variations!$L:$L,C27,Variations!$M:$M,A27)+SUMIFS(Variations!$H:$H,Variations!$G:$G,"Submitted",Variations!$L:$L,C27,Variations!$M:$M,A27))</f>
      </c>
      <c r="V27" s="8">
        <f>IF(A27="","",IF(AND(L27&lt;&gt;"",L27&gt;=IF(K27="",J27,K27)),"Paid",IF(AND(K27&lt;&gt;"",K27=0),"Scheduled at $0",IF(AND(K27="",H27&lt;&gt;"",TODAY()&gt;H27),"Schedule date passed: none recorded",IF(AND(I27&lt;&gt;"",TODAY()&gt;I27),"Payment overdue","Open")))))</f>
      </c>
    </row>
    <row r="28" spans="2:22" x14ac:dyDescent="0.25">
      <c r="F28" s="5"/>
      <c r="G28" s="5"/>
      <c r="H28" s="5"/>
      <c r="I28" s="5"/>
      <c r="J28" s="6"/>
      <c r="K28" s="6"/>
      <c r="L28" s="6"/>
      <c r="M28" s="5"/>
      <c r="N28" s="6"/>
      <c r="O28" s="6"/>
      <c r="Q28" s="7">
        <f>IF(OR(J28="",K28=""),"",J28-K28)</f>
      </c>
      <c r="R28" s="7">
        <f>IF(A28="","",IF(K28="",J28,K28)-N(L28))</f>
      </c>
      <c r="S28" s="7">
        <f>IF(A28="","",SUMIFS($N$5:N28,$C$5:C28,C28)-SUMIFS($O$5:O28,$C$5:C28,C28))</f>
      </c>
      <c r="T28" s="7">
        <f>IF(A28="","",SUMIFS(Variations!$I:$I,Variations!$G:$G,"Approved",Variations!$L:$L,C28,Variations!$M:$M,A28))</f>
      </c>
      <c r="U28" s="7">
        <f>IF(A28="","",SUMIFS(Variations!$H:$H,Variations!$G:$G,"Pending",Variations!$L:$L,C28,Variations!$M:$M,A28)+SUMIFS(Variations!$H:$H,Variations!$G:$G,"Submitted",Variations!$L:$L,C28,Variations!$M:$M,A28))</f>
      </c>
      <c r="V28" s="8">
        <f>IF(A28="","",IF(AND(L28&lt;&gt;"",L28&gt;=IF(K28="",J28,K28)),"Paid",IF(AND(K28&lt;&gt;"",K28=0),"Scheduled at $0",IF(AND(K28="",H28&lt;&gt;"",TODAY()&gt;H28),"Schedule date passed: none recorded",IF(AND(I28&lt;&gt;"",TODAY()&gt;I28),"Payment overdue","Open")))))</f>
      </c>
    </row>
    <row r="29" spans="2:22" x14ac:dyDescent="0.25">
      <c r="F29" s="5"/>
      <c r="G29" s="5"/>
      <c r="H29" s="5"/>
      <c r="I29" s="5"/>
      <c r="J29" s="6"/>
      <c r="K29" s="6"/>
      <c r="L29" s="6"/>
      <c r="M29" s="5"/>
      <c r="N29" s="6"/>
      <c r="O29" s="6"/>
      <c r="Q29" s="7">
        <f>IF(OR(J29="",K29=""),"",J29-K29)</f>
      </c>
      <c r="R29" s="7">
        <f>IF(A29="","",IF(K29="",J29,K29)-N(L29))</f>
      </c>
      <c r="S29" s="7">
        <f>IF(A29="","",SUMIFS($N$5:N29,$C$5:C29,C29)-SUMIFS($O$5:O29,$C$5:C29,C29))</f>
      </c>
      <c r="T29" s="7">
        <f>IF(A29="","",SUMIFS(Variations!$I:$I,Variations!$G:$G,"Approved",Variations!$L:$L,C29,Variations!$M:$M,A29))</f>
      </c>
      <c r="U29" s="7">
        <f>IF(A29="","",SUMIFS(Variations!$H:$H,Variations!$G:$G,"Pending",Variations!$L:$L,C29,Variations!$M:$M,A29)+SUMIFS(Variations!$H:$H,Variations!$G:$G,"Submitted",Variations!$L:$L,C29,Variations!$M:$M,A29))</f>
      </c>
      <c r="V29" s="8">
        <f>IF(A29="","",IF(AND(L29&lt;&gt;"",L29&gt;=IF(K29="",J29,K29)),"Paid",IF(AND(K29&lt;&gt;"",K29=0),"Scheduled at $0",IF(AND(K29="",H29&lt;&gt;"",TODAY()&gt;H29),"Schedule date passed: none recorded",IF(AND(I29&lt;&gt;"",TODAY()&gt;I29),"Payment overdue","Open")))))</f>
      </c>
    </row>
    <row r="30" spans="2:22" x14ac:dyDescent="0.25">
      <c r="F30" s="5"/>
      <c r="G30" s="5"/>
      <c r="H30" s="5"/>
      <c r="I30" s="5"/>
      <c r="J30" s="6"/>
      <c r="K30" s="6"/>
      <c r="L30" s="6"/>
      <c r="M30" s="5"/>
      <c r="N30" s="6"/>
      <c r="O30" s="6"/>
      <c r="Q30" s="7">
        <f>IF(OR(J30="",K30=""),"",J30-K30)</f>
      </c>
      <c r="R30" s="7">
        <f>IF(A30="","",IF(K30="",J30,K30)-N(L30))</f>
      </c>
      <c r="S30" s="7">
        <f>IF(A30="","",SUMIFS($N$5:N30,$C$5:C30,C30)-SUMIFS($O$5:O30,$C$5:C30,C30))</f>
      </c>
      <c r="T30" s="7">
        <f>IF(A30="","",SUMIFS(Variations!$I:$I,Variations!$G:$G,"Approved",Variations!$L:$L,C30,Variations!$M:$M,A30))</f>
      </c>
      <c r="U30" s="7">
        <f>IF(A30="","",SUMIFS(Variations!$H:$H,Variations!$G:$G,"Pending",Variations!$L:$L,C30,Variations!$M:$M,A30)+SUMIFS(Variations!$H:$H,Variations!$G:$G,"Submitted",Variations!$L:$L,C30,Variations!$M:$M,A30))</f>
      </c>
      <c r="V30" s="8">
        <f>IF(A30="","",IF(AND(L30&lt;&gt;"",L30&gt;=IF(K30="",J30,K30)),"Paid",IF(AND(K30&lt;&gt;"",K30=0),"Scheduled at $0",IF(AND(K30="",H30&lt;&gt;"",TODAY()&gt;H30),"Schedule date passed: none recorded",IF(AND(I30&lt;&gt;"",TODAY()&gt;I30),"Payment overdue","Open")))))</f>
      </c>
    </row>
    <row r="31" spans="2:22" x14ac:dyDescent="0.25">
      <c r="F31" s="5"/>
      <c r="G31" s="5"/>
      <c r="H31" s="5"/>
      <c r="I31" s="5"/>
      <c r="J31" s="6"/>
      <c r="K31" s="6"/>
      <c r="L31" s="6"/>
      <c r="M31" s="5"/>
      <c r="N31" s="6"/>
      <c r="O31" s="6"/>
      <c r="Q31" s="7">
        <f>IF(OR(J31="",K31=""),"",J31-K31)</f>
      </c>
      <c r="R31" s="7">
        <f>IF(A31="","",IF(K31="",J31,K31)-N(L31))</f>
      </c>
      <c r="S31" s="7">
        <f>IF(A31="","",SUMIFS($N$5:N31,$C$5:C31,C31)-SUMIFS($O$5:O31,$C$5:C31,C31))</f>
      </c>
      <c r="T31" s="7">
        <f>IF(A31="","",SUMIFS(Variations!$I:$I,Variations!$G:$G,"Approved",Variations!$L:$L,C31,Variations!$M:$M,A31))</f>
      </c>
      <c r="U31" s="7">
        <f>IF(A31="","",SUMIFS(Variations!$H:$H,Variations!$G:$G,"Pending",Variations!$L:$L,C31,Variations!$M:$M,A31)+SUMIFS(Variations!$H:$H,Variations!$G:$G,"Submitted",Variations!$L:$L,C31,Variations!$M:$M,A31))</f>
      </c>
      <c r="V31" s="8">
        <f>IF(A31="","",IF(AND(L31&lt;&gt;"",L31&gt;=IF(K31="",J31,K31)),"Paid",IF(AND(K31&lt;&gt;"",K31=0),"Scheduled at $0",IF(AND(K31="",H31&lt;&gt;"",TODAY()&gt;H31),"Schedule date passed: none recorded",IF(AND(I31&lt;&gt;"",TODAY()&gt;I31),"Payment overdue","Open")))))</f>
      </c>
    </row>
    <row r="32" spans="2:22" x14ac:dyDescent="0.25">
      <c r="F32" s="5"/>
      <c r="G32" s="5"/>
      <c r="H32" s="5"/>
      <c r="I32" s="5"/>
      <c r="J32" s="6"/>
      <c r="K32" s="6"/>
      <c r="L32" s="6"/>
      <c r="M32" s="5"/>
      <c r="N32" s="6"/>
      <c r="O32" s="6"/>
      <c r="Q32" s="7">
        <f>IF(OR(J32="",K32=""),"",J32-K32)</f>
      </c>
      <c r="R32" s="7">
        <f>IF(A32="","",IF(K32="",J32,K32)-N(L32))</f>
      </c>
      <c r="S32" s="7">
        <f>IF(A32="","",SUMIFS($N$5:N32,$C$5:C32,C32)-SUMIFS($O$5:O32,$C$5:C32,C32))</f>
      </c>
      <c r="T32" s="7">
        <f>IF(A32="","",SUMIFS(Variations!$I:$I,Variations!$G:$G,"Approved",Variations!$L:$L,C32,Variations!$M:$M,A32))</f>
      </c>
      <c r="U32" s="7">
        <f>IF(A32="","",SUMIFS(Variations!$H:$H,Variations!$G:$G,"Pending",Variations!$L:$L,C32,Variations!$M:$M,A32)+SUMIFS(Variations!$H:$H,Variations!$G:$G,"Submitted",Variations!$L:$L,C32,Variations!$M:$M,A32))</f>
      </c>
      <c r="V32" s="8">
        <f>IF(A32="","",IF(AND(L32&lt;&gt;"",L32&gt;=IF(K32="",J32,K32)),"Paid",IF(AND(K32&lt;&gt;"",K32=0),"Scheduled at $0",IF(AND(K32="",H32&lt;&gt;"",TODAY()&gt;H32),"Schedule date passed: none recorded",IF(AND(I32&lt;&gt;"",TODAY()&gt;I32),"Payment overdue","Open")))))</f>
      </c>
    </row>
    <row r="33" spans="2:22" x14ac:dyDescent="0.25">
      <c r="F33" s="5"/>
      <c r="G33" s="5"/>
      <c r="H33" s="5"/>
      <c r="I33" s="5"/>
      <c r="J33" s="6"/>
      <c r="K33" s="6"/>
      <c r="L33" s="6"/>
      <c r="M33" s="5"/>
      <c r="N33" s="6"/>
      <c r="O33" s="6"/>
      <c r="Q33" s="7">
        <f>IF(OR(J33="",K33=""),"",J33-K33)</f>
      </c>
      <c r="R33" s="7">
        <f>IF(A33="","",IF(K33="",J33,K33)-N(L33))</f>
      </c>
      <c r="S33" s="7">
        <f>IF(A33="","",SUMIFS($N$5:N33,$C$5:C33,C33)-SUMIFS($O$5:O33,$C$5:C33,C33))</f>
      </c>
      <c r="T33" s="7">
        <f>IF(A33="","",SUMIFS(Variations!$I:$I,Variations!$G:$G,"Approved",Variations!$L:$L,C33,Variations!$M:$M,A33))</f>
      </c>
      <c r="U33" s="7">
        <f>IF(A33="","",SUMIFS(Variations!$H:$H,Variations!$G:$G,"Pending",Variations!$L:$L,C33,Variations!$M:$M,A33)+SUMIFS(Variations!$H:$H,Variations!$G:$G,"Submitted",Variations!$L:$L,C33,Variations!$M:$M,A33))</f>
      </c>
      <c r="V33" s="8">
        <f>IF(A33="","",IF(AND(L33&lt;&gt;"",L33&gt;=IF(K33="",J33,K33)),"Paid",IF(AND(K33&lt;&gt;"",K33=0),"Scheduled at $0",IF(AND(K33="",H33&lt;&gt;"",TODAY()&gt;H33),"Schedule date passed: none recorded",IF(AND(I33&lt;&gt;"",TODAY()&gt;I33),"Payment overdue","Open")))))</f>
      </c>
    </row>
    <row r="34" spans="2:22" x14ac:dyDescent="0.25">
      <c r="F34" s="5"/>
      <c r="G34" s="5"/>
      <c r="H34" s="5"/>
      <c r="I34" s="5"/>
      <c r="J34" s="6"/>
      <c r="K34" s="6"/>
      <c r="L34" s="6"/>
      <c r="M34" s="5"/>
      <c r="N34" s="6"/>
      <c r="O34" s="6"/>
      <c r="Q34" s="7">
        <f>IF(OR(J34="",K34=""),"",J34-K34)</f>
      </c>
      <c r="R34" s="7">
        <f>IF(A34="","",IF(K34="",J34,K34)-N(L34))</f>
      </c>
      <c r="S34" s="7">
        <f>IF(A34="","",SUMIFS($N$5:N34,$C$5:C34,C34)-SUMIFS($O$5:O34,$C$5:C34,C34))</f>
      </c>
      <c r="T34" s="7">
        <f>IF(A34="","",SUMIFS(Variations!$I:$I,Variations!$G:$G,"Approved",Variations!$L:$L,C34,Variations!$M:$M,A34))</f>
      </c>
      <c r="U34" s="7">
        <f>IF(A34="","",SUMIFS(Variations!$H:$H,Variations!$G:$G,"Pending",Variations!$L:$L,C34,Variations!$M:$M,A34)+SUMIFS(Variations!$H:$H,Variations!$G:$G,"Submitted",Variations!$L:$L,C34,Variations!$M:$M,A34))</f>
      </c>
      <c r="V34" s="8">
        <f>IF(A34="","",IF(AND(L34&lt;&gt;"",L34&gt;=IF(K34="",J34,K34)),"Paid",IF(AND(K34&lt;&gt;"",K34=0),"Scheduled at $0",IF(AND(K34="",H34&lt;&gt;"",TODAY()&gt;H34),"Schedule date passed: none recorded",IF(AND(I34&lt;&gt;"",TODAY()&gt;I34),"Payment overdue","Open")))))</f>
      </c>
    </row>
    <row r="35" spans="2:22" x14ac:dyDescent="0.25">
      <c r="F35" s="5"/>
      <c r="G35" s="5"/>
      <c r="H35" s="5"/>
      <c r="I35" s="5"/>
      <c r="J35" s="6"/>
      <c r="K35" s="6"/>
      <c r="L35" s="6"/>
      <c r="M35" s="5"/>
      <c r="N35" s="6"/>
      <c r="O35" s="6"/>
      <c r="Q35" s="7">
        <f>IF(OR(J35="",K35=""),"",J35-K35)</f>
      </c>
      <c r="R35" s="7">
        <f>IF(A35="","",IF(K35="",J35,K35)-N(L35))</f>
      </c>
      <c r="S35" s="7">
        <f>IF(A35="","",SUMIFS($N$5:N35,$C$5:C35,C35)-SUMIFS($O$5:O35,$C$5:C35,C35))</f>
      </c>
      <c r="T35" s="7">
        <f>IF(A35="","",SUMIFS(Variations!$I:$I,Variations!$G:$G,"Approved",Variations!$L:$L,C35,Variations!$M:$M,A35))</f>
      </c>
      <c r="U35" s="7">
        <f>IF(A35="","",SUMIFS(Variations!$H:$H,Variations!$G:$G,"Pending",Variations!$L:$L,C35,Variations!$M:$M,A35)+SUMIFS(Variations!$H:$H,Variations!$G:$G,"Submitted",Variations!$L:$L,C35,Variations!$M:$M,A35))</f>
      </c>
      <c r="V35" s="8">
        <f>IF(A35="","",IF(AND(L35&lt;&gt;"",L35&gt;=IF(K35="",J35,K35)),"Paid",IF(AND(K35&lt;&gt;"",K35=0),"Scheduled at $0",IF(AND(K35="",H35&lt;&gt;"",TODAY()&gt;H35),"Schedule date passed: none recorded",IF(AND(I35&lt;&gt;"",TODAY()&gt;I35),"Payment overdue","Open")))))</f>
      </c>
    </row>
    <row r="36" spans="2:22" x14ac:dyDescent="0.25">
      <c r="F36" s="5"/>
      <c r="G36" s="5"/>
      <c r="H36" s="5"/>
      <c r="I36" s="5"/>
      <c r="J36" s="6"/>
      <c r="K36" s="6"/>
      <c r="L36" s="6"/>
      <c r="M36" s="5"/>
      <c r="N36" s="6"/>
      <c r="O36" s="6"/>
      <c r="Q36" s="7">
        <f>IF(OR(J36="",K36=""),"",J36-K36)</f>
      </c>
      <c r="R36" s="7">
        <f>IF(A36="","",IF(K36="",J36,K36)-N(L36))</f>
      </c>
      <c r="S36" s="7">
        <f>IF(A36="","",SUMIFS($N$5:N36,$C$5:C36,C36)-SUMIFS($O$5:O36,$C$5:C36,C36))</f>
      </c>
      <c r="T36" s="7">
        <f>IF(A36="","",SUMIFS(Variations!$I:$I,Variations!$G:$G,"Approved",Variations!$L:$L,C36,Variations!$M:$M,A36))</f>
      </c>
      <c r="U36" s="7">
        <f>IF(A36="","",SUMIFS(Variations!$H:$H,Variations!$G:$G,"Pending",Variations!$L:$L,C36,Variations!$M:$M,A36)+SUMIFS(Variations!$H:$H,Variations!$G:$G,"Submitted",Variations!$L:$L,C36,Variations!$M:$M,A36))</f>
      </c>
      <c r="V36" s="8">
        <f>IF(A36="","",IF(AND(L36&lt;&gt;"",L36&gt;=IF(K36="",J36,K36)),"Paid",IF(AND(K36&lt;&gt;"",K36=0),"Scheduled at $0",IF(AND(K36="",H36&lt;&gt;"",TODAY()&gt;H36),"Schedule date passed: none recorded",IF(AND(I36&lt;&gt;"",TODAY()&gt;I36),"Payment overdue","Open")))))</f>
      </c>
    </row>
    <row r="37" spans="2:22" x14ac:dyDescent="0.25">
      <c r="F37" s="5"/>
      <c r="G37" s="5"/>
      <c r="H37" s="5"/>
      <c r="I37" s="5"/>
      <c r="J37" s="6"/>
      <c r="K37" s="6"/>
      <c r="L37" s="6"/>
      <c r="M37" s="5"/>
      <c r="N37" s="6"/>
      <c r="O37" s="6"/>
      <c r="Q37" s="7">
        <f>IF(OR(J37="",K37=""),"",J37-K37)</f>
      </c>
      <c r="R37" s="7">
        <f>IF(A37="","",IF(K37="",J37,K37)-N(L37))</f>
      </c>
      <c r="S37" s="7">
        <f>IF(A37="","",SUMIFS($N$5:N37,$C$5:C37,C37)-SUMIFS($O$5:O37,$C$5:C37,C37))</f>
      </c>
      <c r="T37" s="7">
        <f>IF(A37="","",SUMIFS(Variations!$I:$I,Variations!$G:$G,"Approved",Variations!$L:$L,C37,Variations!$M:$M,A37))</f>
      </c>
      <c r="U37" s="7">
        <f>IF(A37="","",SUMIFS(Variations!$H:$H,Variations!$G:$G,"Pending",Variations!$L:$L,C37,Variations!$M:$M,A37)+SUMIFS(Variations!$H:$H,Variations!$G:$G,"Submitted",Variations!$L:$L,C37,Variations!$M:$M,A37))</f>
      </c>
      <c r="V37" s="8">
        <f>IF(A37="","",IF(AND(L37&lt;&gt;"",L37&gt;=IF(K37="",J37,K37)),"Paid",IF(AND(K37&lt;&gt;"",K37=0),"Scheduled at $0",IF(AND(K37="",H37&lt;&gt;"",TODAY()&gt;H37),"Schedule date passed: none recorded",IF(AND(I37&lt;&gt;"",TODAY()&gt;I37),"Payment overdue","Open")))))</f>
      </c>
    </row>
    <row r="38" spans="2:22" x14ac:dyDescent="0.25">
      <c r="F38" s="5"/>
      <c r="G38" s="5"/>
      <c r="H38" s="5"/>
      <c r="I38" s="5"/>
      <c r="J38" s="6"/>
      <c r="K38" s="6"/>
      <c r="L38" s="6"/>
      <c r="M38" s="5"/>
      <c r="N38" s="6"/>
      <c r="O38" s="6"/>
      <c r="Q38" s="7">
        <f>IF(OR(J38="",K38=""),"",J38-K38)</f>
      </c>
      <c r="R38" s="7">
        <f>IF(A38="","",IF(K38="",J38,K38)-N(L38))</f>
      </c>
      <c r="S38" s="7">
        <f>IF(A38="","",SUMIFS($N$5:N38,$C$5:C38,C38)-SUMIFS($O$5:O38,$C$5:C38,C38))</f>
      </c>
      <c r="T38" s="7">
        <f>IF(A38="","",SUMIFS(Variations!$I:$I,Variations!$G:$G,"Approved",Variations!$L:$L,C38,Variations!$M:$M,A38))</f>
      </c>
      <c r="U38" s="7">
        <f>IF(A38="","",SUMIFS(Variations!$H:$H,Variations!$G:$G,"Pending",Variations!$L:$L,C38,Variations!$M:$M,A38)+SUMIFS(Variations!$H:$H,Variations!$G:$G,"Submitted",Variations!$L:$L,C38,Variations!$M:$M,A38))</f>
      </c>
      <c r="V38" s="8">
        <f>IF(A38="","",IF(AND(L38&lt;&gt;"",L38&gt;=IF(K38="",J38,K38)),"Paid",IF(AND(K38&lt;&gt;"",K38=0),"Scheduled at $0",IF(AND(K38="",H38&lt;&gt;"",TODAY()&gt;H38),"Schedule date passed: none recorded",IF(AND(I38&lt;&gt;"",TODAY()&gt;I38),"Payment overdue","Open")))))</f>
      </c>
    </row>
    <row r="39" spans="2:22" x14ac:dyDescent="0.25">
      <c r="F39" s="5"/>
      <c r="G39" s="5"/>
      <c r="H39" s="5"/>
      <c r="I39" s="5"/>
      <c r="J39" s="6"/>
      <c r="K39" s="6"/>
      <c r="L39" s="6"/>
      <c r="M39" s="5"/>
      <c r="N39" s="6"/>
      <c r="O39" s="6"/>
      <c r="Q39" s="7">
        <f>IF(OR(J39="",K39=""),"",J39-K39)</f>
      </c>
      <c r="R39" s="7">
        <f>IF(A39="","",IF(K39="",J39,K39)-N(L39))</f>
      </c>
      <c r="S39" s="7">
        <f>IF(A39="","",SUMIFS($N$5:N39,$C$5:C39,C39)-SUMIFS($O$5:O39,$C$5:C39,C39))</f>
      </c>
      <c r="T39" s="7">
        <f>IF(A39="","",SUMIFS(Variations!$I:$I,Variations!$G:$G,"Approved",Variations!$L:$L,C39,Variations!$M:$M,A39))</f>
      </c>
      <c r="U39" s="7">
        <f>IF(A39="","",SUMIFS(Variations!$H:$H,Variations!$G:$G,"Pending",Variations!$L:$L,C39,Variations!$M:$M,A39)+SUMIFS(Variations!$H:$H,Variations!$G:$G,"Submitted",Variations!$L:$L,C39,Variations!$M:$M,A39))</f>
      </c>
      <c r="V39" s="8">
        <f>IF(A39="","",IF(AND(L39&lt;&gt;"",L39&gt;=IF(K39="",J39,K39)),"Paid",IF(AND(K39&lt;&gt;"",K39=0),"Scheduled at $0",IF(AND(K39="",H39&lt;&gt;"",TODAY()&gt;H39),"Schedule date passed: none recorded",IF(AND(I39&lt;&gt;"",TODAY()&gt;I39),"Payment overdue","Open")))))</f>
      </c>
    </row>
    <row r="40" spans="2:22" x14ac:dyDescent="0.25">
      <c r="F40" s="5"/>
      <c r="G40" s="5"/>
      <c r="H40" s="5"/>
      <c r="I40" s="5"/>
      <c r="J40" s="6"/>
      <c r="K40" s="6"/>
      <c r="L40" s="6"/>
      <c r="M40" s="5"/>
      <c r="N40" s="6"/>
      <c r="O40" s="6"/>
      <c r="Q40" s="7">
        <f>IF(OR(J40="",K40=""),"",J40-K40)</f>
      </c>
      <c r="R40" s="7">
        <f>IF(A40="","",IF(K40="",J40,K40)-N(L40))</f>
      </c>
      <c r="S40" s="7">
        <f>IF(A40="","",SUMIFS($N$5:N40,$C$5:C40,C40)-SUMIFS($O$5:O40,$C$5:C40,C40))</f>
      </c>
      <c r="T40" s="7">
        <f>IF(A40="","",SUMIFS(Variations!$I:$I,Variations!$G:$G,"Approved",Variations!$L:$L,C40,Variations!$M:$M,A40))</f>
      </c>
      <c r="U40" s="7">
        <f>IF(A40="","",SUMIFS(Variations!$H:$H,Variations!$G:$G,"Pending",Variations!$L:$L,C40,Variations!$M:$M,A40)+SUMIFS(Variations!$H:$H,Variations!$G:$G,"Submitted",Variations!$L:$L,C40,Variations!$M:$M,A40))</f>
      </c>
      <c r="V40" s="8">
        <f>IF(A40="","",IF(AND(L40&lt;&gt;"",L40&gt;=IF(K40="",J40,K40)),"Paid",IF(AND(K40&lt;&gt;"",K40=0),"Scheduled at $0",IF(AND(K40="",H40&lt;&gt;"",TODAY()&gt;H40),"Schedule date passed: none recorded",IF(AND(I40&lt;&gt;"",TODAY()&gt;I40),"Payment overdue","Open")))))</f>
      </c>
    </row>
    <row r="41" spans="2:22" x14ac:dyDescent="0.25">
      <c r="F41" s="5"/>
      <c r="G41" s="5"/>
      <c r="H41" s="5"/>
      <c r="I41" s="5"/>
      <c r="J41" s="6"/>
      <c r="K41" s="6"/>
      <c r="L41" s="6"/>
      <c r="M41" s="5"/>
      <c r="N41" s="6"/>
      <c r="O41" s="6"/>
      <c r="Q41" s="7">
        <f>IF(OR(J41="",K41=""),"",J41-K41)</f>
      </c>
      <c r="R41" s="7">
        <f>IF(A41="","",IF(K41="",J41,K41)-N(L41))</f>
      </c>
      <c r="S41" s="7">
        <f>IF(A41="","",SUMIFS($N$5:N41,$C$5:C41,C41)-SUMIFS($O$5:O41,$C$5:C41,C41))</f>
      </c>
      <c r="T41" s="7">
        <f>IF(A41="","",SUMIFS(Variations!$I:$I,Variations!$G:$G,"Approved",Variations!$L:$L,C41,Variations!$M:$M,A41))</f>
      </c>
      <c r="U41" s="7">
        <f>IF(A41="","",SUMIFS(Variations!$H:$H,Variations!$G:$G,"Pending",Variations!$L:$L,C41,Variations!$M:$M,A41)+SUMIFS(Variations!$H:$H,Variations!$G:$G,"Submitted",Variations!$L:$L,C41,Variations!$M:$M,A41))</f>
      </c>
      <c r="V41" s="8">
        <f>IF(A41="","",IF(AND(L41&lt;&gt;"",L41&gt;=IF(K41="",J41,K41)),"Paid",IF(AND(K41&lt;&gt;"",K41=0),"Scheduled at $0",IF(AND(K41="",H41&lt;&gt;"",TODAY()&gt;H41),"Schedule date passed: none recorded",IF(AND(I41&lt;&gt;"",TODAY()&gt;I41),"Payment overdue","Open")))))</f>
      </c>
    </row>
    <row r="42" spans="2:22" x14ac:dyDescent="0.25">
      <c r="F42" s="5"/>
      <c r="G42" s="5"/>
      <c r="H42" s="5"/>
      <c r="I42" s="5"/>
      <c r="J42" s="6"/>
      <c r="K42" s="6"/>
      <c r="L42" s="6"/>
      <c r="M42" s="5"/>
      <c r="N42" s="6"/>
      <c r="O42" s="6"/>
      <c r="Q42" s="7">
        <f>IF(OR(J42="",K42=""),"",J42-K42)</f>
      </c>
      <c r="R42" s="7">
        <f>IF(A42="","",IF(K42="",J42,K42)-N(L42))</f>
      </c>
      <c r="S42" s="7">
        <f>IF(A42="","",SUMIFS($N$5:N42,$C$5:C42,C42)-SUMIFS($O$5:O42,$C$5:C42,C42))</f>
      </c>
      <c r="T42" s="7">
        <f>IF(A42="","",SUMIFS(Variations!$I:$I,Variations!$G:$G,"Approved",Variations!$L:$L,C42,Variations!$M:$M,A42))</f>
      </c>
      <c r="U42" s="7">
        <f>IF(A42="","",SUMIFS(Variations!$H:$H,Variations!$G:$G,"Pending",Variations!$L:$L,C42,Variations!$M:$M,A42)+SUMIFS(Variations!$H:$H,Variations!$G:$G,"Submitted",Variations!$L:$L,C42,Variations!$M:$M,A42))</f>
      </c>
      <c r="V42" s="8">
        <f>IF(A42="","",IF(AND(L42&lt;&gt;"",L42&gt;=IF(K42="",J42,K42)),"Paid",IF(AND(K42&lt;&gt;"",K42=0),"Scheduled at $0",IF(AND(K42="",H42&lt;&gt;"",TODAY()&gt;H42),"Schedule date passed: none recorded",IF(AND(I42&lt;&gt;"",TODAY()&gt;I42),"Payment overdue","Open")))))</f>
      </c>
    </row>
    <row r="43" spans="2:22" x14ac:dyDescent="0.25">
      <c r="F43" s="5"/>
      <c r="G43" s="5"/>
      <c r="H43" s="5"/>
      <c r="I43" s="5"/>
      <c r="J43" s="6"/>
      <c r="K43" s="6"/>
      <c r="L43" s="6"/>
      <c r="M43" s="5"/>
      <c r="N43" s="6"/>
      <c r="O43" s="6"/>
      <c r="Q43" s="7">
        <f>IF(OR(J43="",K43=""),"",J43-K43)</f>
      </c>
      <c r="R43" s="7">
        <f>IF(A43="","",IF(K43="",J43,K43)-N(L43))</f>
      </c>
      <c r="S43" s="7">
        <f>IF(A43="","",SUMIFS($N$5:N43,$C$5:C43,C43)-SUMIFS($O$5:O43,$C$5:C43,C43))</f>
      </c>
      <c r="T43" s="7">
        <f>IF(A43="","",SUMIFS(Variations!$I:$I,Variations!$G:$G,"Approved",Variations!$L:$L,C43,Variations!$M:$M,A43))</f>
      </c>
      <c r="U43" s="7">
        <f>IF(A43="","",SUMIFS(Variations!$H:$H,Variations!$G:$G,"Pending",Variations!$L:$L,C43,Variations!$M:$M,A43)+SUMIFS(Variations!$H:$H,Variations!$G:$G,"Submitted",Variations!$L:$L,C43,Variations!$M:$M,A43))</f>
      </c>
      <c r="V43" s="8">
        <f>IF(A43="","",IF(AND(L43&lt;&gt;"",L43&gt;=IF(K43="",J43,K43)),"Paid",IF(AND(K43&lt;&gt;"",K43=0),"Scheduled at $0",IF(AND(K43="",H43&lt;&gt;"",TODAY()&gt;H43),"Schedule date passed: none recorded",IF(AND(I43&lt;&gt;"",TODAY()&gt;I43),"Payment overdue","Open")))))</f>
      </c>
    </row>
    <row r="44" spans="2:22" x14ac:dyDescent="0.25">
      <c r="F44" s="5"/>
      <c r="G44" s="5"/>
      <c r="H44" s="5"/>
      <c r="I44" s="5"/>
      <c r="J44" s="6"/>
      <c r="K44" s="6"/>
      <c r="L44" s="6"/>
      <c r="M44" s="5"/>
      <c r="N44" s="6"/>
      <c r="O44" s="6"/>
      <c r="Q44" s="7">
        <f>IF(OR(J44="",K44=""),"",J44-K44)</f>
      </c>
      <c r="R44" s="7">
        <f>IF(A44="","",IF(K44="",J44,K44)-N(L44))</f>
      </c>
      <c r="S44" s="7">
        <f>IF(A44="","",SUMIFS($N$5:N44,$C$5:C44,C44)-SUMIFS($O$5:O44,$C$5:C44,C44))</f>
      </c>
      <c r="T44" s="7">
        <f>IF(A44="","",SUMIFS(Variations!$I:$I,Variations!$G:$G,"Approved",Variations!$L:$L,C44,Variations!$M:$M,A44))</f>
      </c>
      <c r="U44" s="7">
        <f>IF(A44="","",SUMIFS(Variations!$H:$H,Variations!$G:$G,"Pending",Variations!$L:$L,C44,Variations!$M:$M,A44)+SUMIFS(Variations!$H:$H,Variations!$G:$G,"Submitted",Variations!$L:$L,C44,Variations!$M:$M,A44))</f>
      </c>
      <c r="V44" s="8">
        <f>IF(A44="","",IF(AND(L44&lt;&gt;"",L44&gt;=IF(K44="",J44,K44)),"Paid",IF(AND(K44&lt;&gt;"",K44=0),"Scheduled at $0",IF(AND(K44="",H44&lt;&gt;"",TODAY()&gt;H44),"Schedule date passed: none recorded",IF(AND(I44&lt;&gt;"",TODAY()&gt;I44),"Payment overdue","Open")))))</f>
      </c>
    </row>
    <row r="45" spans="2:22" x14ac:dyDescent="0.25">
      <c r="F45" s="5"/>
      <c r="G45" s="5"/>
      <c r="H45" s="5"/>
      <c r="I45" s="5"/>
      <c r="J45" s="6"/>
      <c r="K45" s="6"/>
      <c r="L45" s="6"/>
      <c r="M45" s="5"/>
      <c r="N45" s="6"/>
      <c r="O45" s="6"/>
      <c r="Q45" s="7">
        <f>IF(OR(J45="",K45=""),"",J45-K45)</f>
      </c>
      <c r="R45" s="7">
        <f>IF(A45="","",IF(K45="",J45,K45)-N(L45))</f>
      </c>
      <c r="S45" s="7">
        <f>IF(A45="","",SUMIFS($N$5:N45,$C$5:C45,C45)-SUMIFS($O$5:O45,$C$5:C45,C45))</f>
      </c>
      <c r="T45" s="7">
        <f>IF(A45="","",SUMIFS(Variations!$I:$I,Variations!$G:$G,"Approved",Variations!$L:$L,C45,Variations!$M:$M,A45))</f>
      </c>
      <c r="U45" s="7">
        <f>IF(A45="","",SUMIFS(Variations!$H:$H,Variations!$G:$G,"Pending",Variations!$L:$L,C45,Variations!$M:$M,A45)+SUMIFS(Variations!$H:$H,Variations!$G:$G,"Submitted",Variations!$L:$L,C45,Variations!$M:$M,A45))</f>
      </c>
      <c r="V45" s="8">
        <f>IF(A45="","",IF(AND(L45&lt;&gt;"",L45&gt;=IF(K45="",J45,K45)),"Paid",IF(AND(K45&lt;&gt;"",K45=0),"Scheduled at $0",IF(AND(K45="",H45&lt;&gt;"",TODAY()&gt;H45),"Schedule date passed: none recorded",IF(AND(I45&lt;&gt;"",TODAY()&gt;I45),"Payment overdue","Open")))))</f>
      </c>
    </row>
    <row r="46" spans="2:22" x14ac:dyDescent="0.25">
      <c r="F46" s="5"/>
      <c r="G46" s="5"/>
      <c r="H46" s="5"/>
      <c r="I46" s="5"/>
      <c r="J46" s="6"/>
      <c r="K46" s="6"/>
      <c r="L46" s="6"/>
      <c r="M46" s="5"/>
      <c r="N46" s="6"/>
      <c r="O46" s="6"/>
      <c r="Q46" s="7">
        <f>IF(OR(J46="",K46=""),"",J46-K46)</f>
      </c>
      <c r="R46" s="7">
        <f>IF(A46="","",IF(K46="",J46,K46)-N(L46))</f>
      </c>
      <c r="S46" s="7">
        <f>IF(A46="","",SUMIFS($N$5:N46,$C$5:C46,C46)-SUMIFS($O$5:O46,$C$5:C46,C46))</f>
      </c>
      <c r="T46" s="7">
        <f>IF(A46="","",SUMIFS(Variations!$I:$I,Variations!$G:$G,"Approved",Variations!$L:$L,C46,Variations!$M:$M,A46))</f>
      </c>
      <c r="U46" s="7">
        <f>IF(A46="","",SUMIFS(Variations!$H:$H,Variations!$G:$G,"Pending",Variations!$L:$L,C46,Variations!$M:$M,A46)+SUMIFS(Variations!$H:$H,Variations!$G:$G,"Submitted",Variations!$L:$L,C46,Variations!$M:$M,A46))</f>
      </c>
      <c r="V46" s="8">
        <f>IF(A46="","",IF(AND(L46&lt;&gt;"",L46&gt;=IF(K46="",J46,K46)),"Paid",IF(AND(K46&lt;&gt;"",K46=0),"Scheduled at $0",IF(AND(K46="",H46&lt;&gt;"",TODAY()&gt;H46),"Schedule date passed: none recorded",IF(AND(I46&lt;&gt;"",TODAY()&gt;I46),"Payment overdue","Open")))))</f>
      </c>
    </row>
    <row r="47" spans="2:22" x14ac:dyDescent="0.25">
      <c r="F47" s="5"/>
      <c r="G47" s="5"/>
      <c r="H47" s="5"/>
      <c r="I47" s="5"/>
      <c r="J47" s="6"/>
      <c r="K47" s="6"/>
      <c r="L47" s="6"/>
      <c r="M47" s="5"/>
      <c r="N47" s="6"/>
      <c r="O47" s="6"/>
      <c r="Q47" s="7">
        <f>IF(OR(J47="",K47=""),"",J47-K47)</f>
      </c>
      <c r="R47" s="7">
        <f>IF(A47="","",IF(K47="",J47,K47)-N(L47))</f>
      </c>
      <c r="S47" s="7">
        <f>IF(A47="","",SUMIFS($N$5:N47,$C$5:C47,C47)-SUMIFS($O$5:O47,$C$5:C47,C47))</f>
      </c>
      <c r="T47" s="7">
        <f>IF(A47="","",SUMIFS(Variations!$I:$I,Variations!$G:$G,"Approved",Variations!$L:$L,C47,Variations!$M:$M,A47))</f>
      </c>
      <c r="U47" s="7">
        <f>IF(A47="","",SUMIFS(Variations!$H:$H,Variations!$G:$G,"Pending",Variations!$L:$L,C47,Variations!$M:$M,A47)+SUMIFS(Variations!$H:$H,Variations!$G:$G,"Submitted",Variations!$L:$L,C47,Variations!$M:$M,A47))</f>
      </c>
      <c r="V47" s="8">
        <f>IF(A47="","",IF(AND(L47&lt;&gt;"",L47&gt;=IF(K47="",J47,K47)),"Paid",IF(AND(K47&lt;&gt;"",K47=0),"Scheduled at $0",IF(AND(K47="",H47&lt;&gt;"",TODAY()&gt;H47),"Schedule date passed: none recorded",IF(AND(I47&lt;&gt;"",TODAY()&gt;I47),"Payment overdue","Open")))))</f>
      </c>
    </row>
    <row r="48" spans="2:22" x14ac:dyDescent="0.25">
      <c r="F48" s="5"/>
      <c r="G48" s="5"/>
      <c r="H48" s="5"/>
      <c r="I48" s="5"/>
      <c r="J48" s="6"/>
      <c r="K48" s="6"/>
      <c r="L48" s="6"/>
      <c r="M48" s="5"/>
      <c r="N48" s="6"/>
      <c r="O48" s="6"/>
      <c r="Q48" s="7">
        <f>IF(OR(J48="",K48=""),"",J48-K48)</f>
      </c>
      <c r="R48" s="7">
        <f>IF(A48="","",IF(K48="",J48,K48)-N(L48))</f>
      </c>
      <c r="S48" s="7">
        <f>IF(A48="","",SUMIFS($N$5:N48,$C$5:C48,C48)-SUMIFS($O$5:O48,$C$5:C48,C48))</f>
      </c>
      <c r="T48" s="7">
        <f>IF(A48="","",SUMIFS(Variations!$I:$I,Variations!$G:$G,"Approved",Variations!$L:$L,C48,Variations!$M:$M,A48))</f>
      </c>
      <c r="U48" s="7">
        <f>IF(A48="","",SUMIFS(Variations!$H:$H,Variations!$G:$G,"Pending",Variations!$L:$L,C48,Variations!$M:$M,A48)+SUMIFS(Variations!$H:$H,Variations!$G:$G,"Submitted",Variations!$L:$L,C48,Variations!$M:$M,A48))</f>
      </c>
      <c r="V48" s="8">
        <f>IF(A48="","",IF(AND(L48&lt;&gt;"",L48&gt;=IF(K48="",J48,K48)),"Paid",IF(AND(K48&lt;&gt;"",K48=0),"Scheduled at $0",IF(AND(K48="",H48&lt;&gt;"",TODAY()&gt;H48),"Schedule date passed: none recorded",IF(AND(I48&lt;&gt;"",TODAY()&gt;I48),"Payment overdue","Open")))))</f>
      </c>
    </row>
    <row r="49" spans="2:22" x14ac:dyDescent="0.25">
      <c r="F49" s="5"/>
      <c r="G49" s="5"/>
      <c r="H49" s="5"/>
      <c r="I49" s="5"/>
      <c r="J49" s="6"/>
      <c r="K49" s="6"/>
      <c r="L49" s="6"/>
      <c r="M49" s="5"/>
      <c r="N49" s="6"/>
      <c r="O49" s="6"/>
      <c r="Q49" s="7">
        <f>IF(OR(J49="",K49=""),"",J49-K49)</f>
      </c>
      <c r="R49" s="7">
        <f>IF(A49="","",IF(K49="",J49,K49)-N(L49))</f>
      </c>
      <c r="S49" s="7">
        <f>IF(A49="","",SUMIFS($N$5:N49,$C$5:C49,C49)-SUMIFS($O$5:O49,$C$5:C49,C49))</f>
      </c>
      <c r="T49" s="7">
        <f>IF(A49="","",SUMIFS(Variations!$I:$I,Variations!$G:$G,"Approved",Variations!$L:$L,C49,Variations!$M:$M,A49))</f>
      </c>
      <c r="U49" s="7">
        <f>IF(A49="","",SUMIFS(Variations!$H:$H,Variations!$G:$G,"Pending",Variations!$L:$L,C49,Variations!$M:$M,A49)+SUMIFS(Variations!$H:$H,Variations!$G:$G,"Submitted",Variations!$L:$L,C49,Variations!$M:$M,A49))</f>
      </c>
      <c r="V49" s="8">
        <f>IF(A49="","",IF(AND(L49&lt;&gt;"",L49&gt;=IF(K49="",J49,K49)),"Paid",IF(AND(K49&lt;&gt;"",K49=0),"Scheduled at $0",IF(AND(K49="",H49&lt;&gt;"",TODAY()&gt;H49),"Schedule date passed: none recorded",IF(AND(I49&lt;&gt;"",TODAY()&gt;I49),"Payment overdue","Open")))))</f>
      </c>
    </row>
    <row r="50" spans="2:22" x14ac:dyDescent="0.25">
      <c r="F50" s="5"/>
      <c r="G50" s="5"/>
      <c r="H50" s="5"/>
      <c r="I50" s="5"/>
      <c r="J50" s="6"/>
      <c r="K50" s="6"/>
      <c r="L50" s="6"/>
      <c r="M50" s="5"/>
      <c r="N50" s="6"/>
      <c r="O50" s="6"/>
      <c r="Q50" s="7">
        <f>IF(OR(J50="",K50=""),"",J50-K50)</f>
      </c>
      <c r="R50" s="7">
        <f>IF(A50="","",IF(K50="",J50,K50)-N(L50))</f>
      </c>
      <c r="S50" s="7">
        <f>IF(A50="","",SUMIFS($N$5:N50,$C$5:C50,C50)-SUMIFS($O$5:O50,$C$5:C50,C50))</f>
      </c>
      <c r="T50" s="7">
        <f>IF(A50="","",SUMIFS(Variations!$I:$I,Variations!$G:$G,"Approved",Variations!$L:$L,C50,Variations!$M:$M,A50))</f>
      </c>
      <c r="U50" s="7">
        <f>IF(A50="","",SUMIFS(Variations!$H:$H,Variations!$G:$G,"Pending",Variations!$L:$L,C50,Variations!$M:$M,A50)+SUMIFS(Variations!$H:$H,Variations!$G:$G,"Submitted",Variations!$L:$L,C50,Variations!$M:$M,A50))</f>
      </c>
      <c r="V50" s="8">
        <f>IF(A50="","",IF(AND(L50&lt;&gt;"",L50&gt;=IF(K50="",J50,K50)),"Paid",IF(AND(K50&lt;&gt;"",K50=0),"Scheduled at $0",IF(AND(K50="",H50&lt;&gt;"",TODAY()&gt;H50),"Schedule date passed: none recorded",IF(AND(I50&lt;&gt;"",TODAY()&gt;I50),"Payment overdue","Open")))))</f>
      </c>
    </row>
    <row r="51" spans="2:22" x14ac:dyDescent="0.25">
      <c r="F51" s="5"/>
      <c r="G51" s="5"/>
      <c r="H51" s="5"/>
      <c r="I51" s="5"/>
      <c r="J51" s="6"/>
      <c r="K51" s="6"/>
      <c r="L51" s="6"/>
      <c r="M51" s="5"/>
      <c r="N51" s="6"/>
      <c r="O51" s="6"/>
      <c r="Q51" s="7">
        <f>IF(OR(J51="",K51=""),"",J51-K51)</f>
      </c>
      <c r="R51" s="7">
        <f>IF(A51="","",IF(K51="",J51,K51)-N(L51))</f>
      </c>
      <c r="S51" s="7">
        <f>IF(A51="","",SUMIFS($N$5:N51,$C$5:C51,C51)-SUMIFS($O$5:O51,$C$5:C51,C51))</f>
      </c>
      <c r="T51" s="7">
        <f>IF(A51="","",SUMIFS(Variations!$I:$I,Variations!$G:$G,"Approved",Variations!$L:$L,C51,Variations!$M:$M,A51))</f>
      </c>
      <c r="U51" s="7">
        <f>IF(A51="","",SUMIFS(Variations!$H:$H,Variations!$G:$G,"Pending",Variations!$L:$L,C51,Variations!$M:$M,A51)+SUMIFS(Variations!$H:$H,Variations!$G:$G,"Submitted",Variations!$L:$L,C51,Variations!$M:$M,A51))</f>
      </c>
      <c r="V51" s="8">
        <f>IF(A51="","",IF(AND(L51&lt;&gt;"",L51&gt;=IF(K51="",J51,K51)),"Paid",IF(AND(K51&lt;&gt;"",K51=0),"Scheduled at $0",IF(AND(K51="",H51&lt;&gt;"",TODAY()&gt;H51),"Schedule date passed: none recorded",IF(AND(I51&lt;&gt;"",TODAY()&gt;I51),"Payment overdue","Open")))))</f>
      </c>
    </row>
    <row r="52" spans="2:22" x14ac:dyDescent="0.25">
      <c r="F52" s="5"/>
      <c r="G52" s="5"/>
      <c r="H52" s="5"/>
      <c r="I52" s="5"/>
      <c r="J52" s="6"/>
      <c r="K52" s="6"/>
      <c r="L52" s="6"/>
      <c r="M52" s="5"/>
      <c r="N52" s="6"/>
      <c r="O52" s="6"/>
      <c r="Q52" s="7">
        <f>IF(OR(J52="",K52=""),"",J52-K52)</f>
      </c>
      <c r="R52" s="7">
        <f>IF(A52="","",IF(K52="",J52,K52)-N(L52))</f>
      </c>
      <c r="S52" s="7">
        <f>IF(A52="","",SUMIFS($N$5:N52,$C$5:C52,C52)-SUMIFS($O$5:O52,$C$5:C52,C52))</f>
      </c>
      <c r="T52" s="7">
        <f>IF(A52="","",SUMIFS(Variations!$I:$I,Variations!$G:$G,"Approved",Variations!$L:$L,C52,Variations!$M:$M,A52))</f>
      </c>
      <c r="U52" s="7">
        <f>IF(A52="","",SUMIFS(Variations!$H:$H,Variations!$G:$G,"Pending",Variations!$L:$L,C52,Variations!$M:$M,A52)+SUMIFS(Variations!$H:$H,Variations!$G:$G,"Submitted",Variations!$L:$L,C52,Variations!$M:$M,A52))</f>
      </c>
      <c r="V52" s="8">
        <f>IF(A52="","",IF(AND(L52&lt;&gt;"",L52&gt;=IF(K52="",J52,K52)),"Paid",IF(AND(K52&lt;&gt;"",K52=0),"Scheduled at $0",IF(AND(K52="",H52&lt;&gt;"",TODAY()&gt;H52),"Schedule date passed: none recorded",IF(AND(I52&lt;&gt;"",TODAY()&gt;I52),"Payment overdue","Open")))))</f>
      </c>
    </row>
    <row r="53" spans="2:22" x14ac:dyDescent="0.25">
      <c r="F53" s="5"/>
      <c r="G53" s="5"/>
      <c r="H53" s="5"/>
      <c r="I53" s="5"/>
      <c r="J53" s="6"/>
      <c r="K53" s="6"/>
      <c r="L53" s="6"/>
      <c r="M53" s="5"/>
      <c r="N53" s="6"/>
      <c r="O53" s="6"/>
      <c r="Q53" s="7">
        <f>IF(OR(J53="",K53=""),"",J53-K53)</f>
      </c>
      <c r="R53" s="7">
        <f>IF(A53="","",IF(K53="",J53,K53)-N(L53))</f>
      </c>
      <c r="S53" s="7">
        <f>IF(A53="","",SUMIFS($N$5:N53,$C$5:C53,C53)-SUMIFS($O$5:O53,$C$5:C53,C53))</f>
      </c>
      <c r="T53" s="7">
        <f>IF(A53="","",SUMIFS(Variations!$I:$I,Variations!$G:$G,"Approved",Variations!$L:$L,C53,Variations!$M:$M,A53))</f>
      </c>
      <c r="U53" s="7">
        <f>IF(A53="","",SUMIFS(Variations!$H:$H,Variations!$G:$G,"Pending",Variations!$L:$L,C53,Variations!$M:$M,A53)+SUMIFS(Variations!$H:$H,Variations!$G:$G,"Submitted",Variations!$L:$L,C53,Variations!$M:$M,A53))</f>
      </c>
      <c r="V53" s="8">
        <f>IF(A53="","",IF(AND(L53&lt;&gt;"",L53&gt;=IF(K53="",J53,K53)),"Paid",IF(AND(K53&lt;&gt;"",K53=0),"Scheduled at $0",IF(AND(K53="",H53&lt;&gt;"",TODAY()&gt;H53),"Schedule date passed: none recorded",IF(AND(I53&lt;&gt;"",TODAY()&gt;I53),"Payment overdue","Open")))))</f>
      </c>
    </row>
    <row r="54" spans="2:22" x14ac:dyDescent="0.25">
      <c r="F54" s="5"/>
      <c r="G54" s="5"/>
      <c r="H54" s="5"/>
      <c r="I54" s="5"/>
      <c r="J54" s="6"/>
      <c r="K54" s="6"/>
      <c r="L54" s="6"/>
      <c r="M54" s="5"/>
      <c r="N54" s="6"/>
      <c r="O54" s="6"/>
      <c r="Q54" s="7">
        <f>IF(OR(J54="",K54=""),"",J54-K54)</f>
      </c>
      <c r="R54" s="7">
        <f>IF(A54="","",IF(K54="",J54,K54)-N(L54))</f>
      </c>
      <c r="S54" s="7">
        <f>IF(A54="","",SUMIFS($N$5:N54,$C$5:C54,C54)-SUMIFS($O$5:O54,$C$5:C54,C54))</f>
      </c>
      <c r="T54" s="7">
        <f>IF(A54="","",SUMIFS(Variations!$I:$I,Variations!$G:$G,"Approved",Variations!$L:$L,C54,Variations!$M:$M,A54))</f>
      </c>
      <c r="U54" s="7">
        <f>IF(A54="","",SUMIFS(Variations!$H:$H,Variations!$G:$G,"Pending",Variations!$L:$L,C54,Variations!$M:$M,A54)+SUMIFS(Variations!$H:$H,Variations!$G:$G,"Submitted",Variations!$L:$L,C54,Variations!$M:$M,A54))</f>
      </c>
      <c r="V54" s="8">
        <f>IF(A54="","",IF(AND(L54&lt;&gt;"",L54&gt;=IF(K54="",J54,K54)),"Paid",IF(AND(K54&lt;&gt;"",K54=0),"Scheduled at $0",IF(AND(K54="",H54&lt;&gt;"",TODAY()&gt;H54),"Schedule date passed: none recorded",IF(AND(I54&lt;&gt;"",TODAY()&gt;I54),"Payment overdue","Open")))))</f>
      </c>
    </row>
    <row r="56" spans="1:1" s="9" customFormat="1" x14ac:dyDescent="0.25">
      <c r="A56" s="9" t="s">
        <v>37</v>
      </c>
    </row>
    <row r="57" spans="1:1" s="2" customFormat="1" x14ac:dyDescent="0.25">
      <c r="A57" s="2" t="s">
        <v>38</v>
      </c>
    </row>
  </sheetData>
  <dataValidations count="2">
    <dataValidation type="list" allowBlank="1" sqref="B10:B54">
      <formula1>"Sent,Received"</formula1>
    </dataValidation>
    <dataValidation type="list" allowBlank="1" sqref="B5:B54">
      <formula1>"Sent,Received"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" customWidth="1"/>
    <col min="3" max="3" width="40" customWidth="1"/>
    <col min="4" max="4" width="18" customWidth="1"/>
    <col min="5" max="7" width="12" customWidth="1"/>
    <col min="8" max="9" width="14" customWidth="1"/>
    <col min="10" max="10" width="16" customWidth="1"/>
    <col min="11" max="11" width="30" customWidth="1"/>
    <col min="12" max="12" width="34" customWidth="1"/>
    <col min="13" max="13" width="10" customWidth="1"/>
  </cols>
  <sheetData>
    <row r="1" spans="1:1" s="1" customFormat="1" x14ac:dyDescent="0.25">
      <c r="A1" s="1" t="s">
        <v>39</v>
      </c>
    </row>
    <row r="2" spans="1:1" s="2" customFormat="1" x14ac:dyDescent="0.25">
      <c r="A2" s="2" t="s">
        <v>40</v>
      </c>
    </row>
    <row r="4" spans="1:13" s="3" customFormat="1" x14ac:dyDescent="0.25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23</v>
      </c>
      <c r="H4" s="4" t="s">
        <v>47</v>
      </c>
      <c r="I4" s="4" t="s">
        <v>48</v>
      </c>
      <c r="J4" s="4" t="s">
        <v>49</v>
      </c>
      <c r="K4" s="4" t="s">
        <v>17</v>
      </c>
      <c r="L4" s="4" t="s">
        <v>4</v>
      </c>
      <c r="M4" s="4" t="s">
        <v>2</v>
      </c>
    </row>
    <row r="5" spans="1:13" x14ac:dyDescent="0.25">
      <c r="A5" t="s">
        <v>50</v>
      </c>
      <c r="B5" t="s">
        <v>51</v>
      </c>
      <c r="C5" t="s">
        <v>52</v>
      </c>
      <c r="D5" t="s">
        <v>53</v>
      </c>
      <c r="E5" s="5">
        <v>46297</v>
      </c>
      <c r="F5" s="5">
        <v>46304</v>
      </c>
      <c r="G5" t="s">
        <v>46</v>
      </c>
      <c r="H5" s="6">
        <v>1850</v>
      </c>
      <c r="I5" s="6">
        <v>1850</v>
      </c>
      <c r="J5" s="6">
        <v>1850</v>
      </c>
      <c r="K5" t="s">
        <v>54</v>
      </c>
      <c r="L5" t="s">
        <v>26</v>
      </c>
      <c r="M5" t="s">
        <v>30</v>
      </c>
    </row>
    <row r="6" spans="1:13" x14ac:dyDescent="0.25">
      <c r="A6" t="s">
        <v>55</v>
      </c>
      <c r="B6" t="s">
        <v>51</v>
      </c>
      <c r="C6" t="s">
        <v>56</v>
      </c>
      <c r="D6" t="s">
        <v>57</v>
      </c>
      <c r="E6" s="5">
        <v>46308</v>
      </c>
      <c r="F6" s="5"/>
      <c r="G6" t="s">
        <v>58</v>
      </c>
      <c r="H6" s="6">
        <v>640</v>
      </c>
      <c r="I6" s="6"/>
      <c r="J6" s="6"/>
      <c r="K6" t="s">
        <v>59</v>
      </c>
      <c r="L6" t="s">
        <v>26</v>
      </c>
      <c r="M6" t="s">
        <v>30</v>
      </c>
    </row>
    <row r="7" spans="5:10" x14ac:dyDescent="0.25">
      <c r="E7" s="5"/>
      <c r="F7" s="5"/>
      <c r="H7" s="6"/>
      <c r="I7" s="6"/>
      <c r="J7" s="6"/>
    </row>
    <row r="8" spans="5:10" x14ac:dyDescent="0.25">
      <c r="E8" s="5"/>
      <c r="F8" s="5"/>
      <c r="H8" s="6"/>
      <c r="I8" s="6"/>
      <c r="J8" s="6"/>
    </row>
    <row r="9" spans="5:10" x14ac:dyDescent="0.25">
      <c r="E9" s="5"/>
      <c r="F9" s="5"/>
      <c r="H9" s="6"/>
      <c r="I9" s="6"/>
      <c r="J9" s="6"/>
    </row>
    <row r="10" spans="5:10" x14ac:dyDescent="0.25">
      <c r="E10" s="5"/>
      <c r="F10" s="5"/>
      <c r="H10" s="6"/>
      <c r="I10" s="6"/>
      <c r="J10" s="6"/>
    </row>
    <row r="11" spans="5:10" x14ac:dyDescent="0.25">
      <c r="E11" s="5"/>
      <c r="F11" s="5"/>
      <c r="H11" s="6"/>
      <c r="I11" s="6"/>
      <c r="J11" s="6"/>
    </row>
    <row r="12" spans="5:10" x14ac:dyDescent="0.25">
      <c r="E12" s="5"/>
      <c r="F12" s="5"/>
      <c r="H12" s="6"/>
      <c r="I12" s="6"/>
      <c r="J12" s="6"/>
    </row>
    <row r="13" spans="5:10" x14ac:dyDescent="0.25">
      <c r="E13" s="5"/>
      <c r="F13" s="5"/>
      <c r="H13" s="6"/>
      <c r="I13" s="6"/>
      <c r="J13" s="6"/>
    </row>
    <row r="14" spans="5:10" x14ac:dyDescent="0.25">
      <c r="E14" s="5"/>
      <c r="F14" s="5"/>
      <c r="H14" s="6"/>
      <c r="I14" s="6"/>
      <c r="J14" s="6"/>
    </row>
    <row r="15" spans="5:10" x14ac:dyDescent="0.25">
      <c r="E15" s="5"/>
      <c r="F15" s="5"/>
      <c r="H15" s="6"/>
      <c r="I15" s="6"/>
      <c r="J15" s="6"/>
    </row>
    <row r="16" spans="5:10" x14ac:dyDescent="0.25">
      <c r="E16" s="5"/>
      <c r="F16" s="5"/>
      <c r="H16" s="6"/>
      <c r="I16" s="6"/>
      <c r="J16" s="6"/>
    </row>
    <row r="17" spans="5:10" x14ac:dyDescent="0.25">
      <c r="E17" s="5"/>
      <c r="F17" s="5"/>
      <c r="H17" s="6"/>
      <c r="I17" s="6"/>
      <c r="J17" s="6"/>
    </row>
    <row r="18" spans="5:10" x14ac:dyDescent="0.25">
      <c r="E18" s="5"/>
      <c r="F18" s="5"/>
      <c r="H18" s="6"/>
      <c r="I18" s="6"/>
      <c r="J18" s="6"/>
    </row>
    <row r="19" spans="5:10" x14ac:dyDescent="0.25">
      <c r="E19" s="5"/>
      <c r="F19" s="5"/>
      <c r="H19" s="6"/>
      <c r="I19" s="6"/>
      <c r="J19" s="6"/>
    </row>
    <row r="20" spans="5:10" x14ac:dyDescent="0.25">
      <c r="E20" s="5"/>
      <c r="F20" s="5"/>
      <c r="H20" s="6"/>
      <c r="I20" s="6"/>
      <c r="J20" s="6"/>
    </row>
    <row r="21" spans="5:10" x14ac:dyDescent="0.25">
      <c r="E21" s="5"/>
      <c r="F21" s="5"/>
      <c r="H21" s="6"/>
      <c r="I21" s="6"/>
      <c r="J21" s="6"/>
    </row>
    <row r="22" spans="5:10" x14ac:dyDescent="0.25">
      <c r="E22" s="5"/>
      <c r="F22" s="5"/>
      <c r="H22" s="6"/>
      <c r="I22" s="6"/>
      <c r="J22" s="6"/>
    </row>
    <row r="23" spans="5:10" x14ac:dyDescent="0.25">
      <c r="E23" s="5"/>
      <c r="F23" s="5"/>
      <c r="H23" s="6"/>
      <c r="I23" s="6"/>
      <c r="J23" s="6"/>
    </row>
    <row r="24" spans="5:10" x14ac:dyDescent="0.25">
      <c r="E24" s="5"/>
      <c r="F24" s="5"/>
      <c r="H24" s="6"/>
      <c r="I24" s="6"/>
      <c r="J24" s="6"/>
    </row>
    <row r="25" spans="5:10" x14ac:dyDescent="0.25">
      <c r="E25" s="5"/>
      <c r="F25" s="5"/>
      <c r="H25" s="6"/>
      <c r="I25" s="6"/>
      <c r="J25" s="6"/>
    </row>
    <row r="26" spans="5:10" x14ac:dyDescent="0.25">
      <c r="E26" s="5"/>
      <c r="F26" s="5"/>
      <c r="H26" s="6"/>
      <c r="I26" s="6"/>
      <c r="J26" s="6"/>
    </row>
    <row r="27" spans="5:10" x14ac:dyDescent="0.25">
      <c r="E27" s="5"/>
      <c r="F27" s="5"/>
      <c r="H27" s="6"/>
      <c r="I27" s="6"/>
      <c r="J27" s="6"/>
    </row>
    <row r="28" spans="5:10" x14ac:dyDescent="0.25">
      <c r="E28" s="5"/>
      <c r="F28" s="5"/>
      <c r="H28" s="6"/>
      <c r="I28" s="6"/>
      <c r="J28" s="6"/>
    </row>
    <row r="29" spans="5:10" x14ac:dyDescent="0.25">
      <c r="E29" s="5"/>
      <c r="F29" s="5"/>
      <c r="H29" s="6"/>
      <c r="I29" s="6"/>
      <c r="J29" s="6"/>
    </row>
    <row r="30" spans="5:10" x14ac:dyDescent="0.25">
      <c r="E30" s="5"/>
      <c r="F30" s="5"/>
      <c r="H30" s="6"/>
      <c r="I30" s="6"/>
      <c r="J30" s="6"/>
    </row>
    <row r="31" spans="5:10" x14ac:dyDescent="0.25">
      <c r="E31" s="5"/>
      <c r="F31" s="5"/>
      <c r="H31" s="6"/>
      <c r="I31" s="6"/>
      <c r="J31" s="6"/>
    </row>
    <row r="32" spans="5:10" x14ac:dyDescent="0.25">
      <c r="E32" s="5"/>
      <c r="F32" s="5"/>
      <c r="H32" s="6"/>
      <c r="I32" s="6"/>
      <c r="J32" s="6"/>
    </row>
    <row r="33" spans="5:10" x14ac:dyDescent="0.25">
      <c r="E33" s="5"/>
      <c r="F33" s="5"/>
      <c r="H33" s="6"/>
      <c r="I33" s="6"/>
      <c r="J33" s="6"/>
    </row>
    <row r="34" spans="5:10" x14ac:dyDescent="0.25">
      <c r="E34" s="5"/>
      <c r="F34" s="5"/>
      <c r="H34" s="6"/>
      <c r="I34" s="6"/>
      <c r="J34" s="6"/>
    </row>
    <row r="35" spans="5:10" x14ac:dyDescent="0.25">
      <c r="E35" s="5"/>
      <c r="F35" s="5"/>
      <c r="H35" s="6"/>
      <c r="I35" s="6"/>
      <c r="J35" s="6"/>
    </row>
    <row r="36" spans="5:10" x14ac:dyDescent="0.25">
      <c r="E36" s="5"/>
      <c r="F36" s="5"/>
      <c r="H36" s="6"/>
      <c r="I36" s="6"/>
      <c r="J36" s="6"/>
    </row>
    <row r="37" spans="5:10" x14ac:dyDescent="0.25">
      <c r="E37" s="5"/>
      <c r="F37" s="5"/>
      <c r="H37" s="6"/>
      <c r="I37" s="6"/>
      <c r="J37" s="6"/>
    </row>
    <row r="38" spans="5:10" x14ac:dyDescent="0.25">
      <c r="E38" s="5"/>
      <c r="F38" s="5"/>
      <c r="H38" s="6"/>
      <c r="I38" s="6"/>
      <c r="J38" s="6"/>
    </row>
    <row r="39" spans="5:10" x14ac:dyDescent="0.25">
      <c r="E39" s="5"/>
      <c r="F39" s="5"/>
      <c r="H39" s="6"/>
      <c r="I39" s="6"/>
      <c r="J39" s="6"/>
    </row>
    <row r="40" spans="5:10" x14ac:dyDescent="0.25">
      <c r="E40" s="5"/>
      <c r="F40" s="5"/>
      <c r="H40" s="6"/>
      <c r="I40" s="6"/>
      <c r="J40" s="6"/>
    </row>
    <row r="41" spans="5:10" x14ac:dyDescent="0.25">
      <c r="E41" s="5"/>
      <c r="F41" s="5"/>
      <c r="H41" s="6"/>
      <c r="I41" s="6"/>
      <c r="J41" s="6"/>
    </row>
    <row r="42" spans="5:10" x14ac:dyDescent="0.25">
      <c r="E42" s="5"/>
      <c r="F42" s="5"/>
      <c r="H42" s="6"/>
      <c r="I42" s="6"/>
      <c r="J42" s="6"/>
    </row>
    <row r="43" spans="5:10" x14ac:dyDescent="0.25">
      <c r="E43" s="5"/>
      <c r="F43" s="5"/>
      <c r="H43" s="6"/>
      <c r="I43" s="6"/>
      <c r="J43" s="6"/>
    </row>
    <row r="44" spans="5:10" x14ac:dyDescent="0.25">
      <c r="E44" s="5"/>
      <c r="F44" s="5"/>
      <c r="H44" s="6"/>
      <c r="I44" s="6"/>
      <c r="J44" s="6"/>
    </row>
    <row r="45" spans="5:10" x14ac:dyDescent="0.25">
      <c r="E45" s="5"/>
      <c r="F45" s="5"/>
      <c r="H45" s="6"/>
      <c r="I45" s="6"/>
      <c r="J45" s="6"/>
    </row>
    <row r="46" spans="5:10" x14ac:dyDescent="0.25">
      <c r="E46" s="5"/>
      <c r="F46" s="5"/>
      <c r="H46" s="6"/>
      <c r="I46" s="6"/>
      <c r="J46" s="6"/>
    </row>
    <row r="47" spans="5:10" x14ac:dyDescent="0.25">
      <c r="E47" s="5"/>
      <c r="F47" s="5"/>
      <c r="H47" s="6"/>
      <c r="I47" s="6"/>
      <c r="J47" s="6"/>
    </row>
    <row r="48" spans="5:10" x14ac:dyDescent="0.25">
      <c r="E48" s="5"/>
      <c r="F48" s="5"/>
      <c r="H48" s="6"/>
      <c r="I48" s="6"/>
      <c r="J48" s="6"/>
    </row>
    <row r="49" spans="5:10" x14ac:dyDescent="0.25">
      <c r="E49" s="5"/>
      <c r="F49" s="5"/>
      <c r="H49" s="6"/>
      <c r="I49" s="6"/>
      <c r="J49" s="6"/>
    </row>
    <row r="50" spans="5:10" x14ac:dyDescent="0.25">
      <c r="E50" s="5"/>
      <c r="F50" s="5"/>
      <c r="H50" s="6"/>
      <c r="I50" s="6"/>
      <c r="J50" s="6"/>
    </row>
    <row r="51" spans="5:10" x14ac:dyDescent="0.25">
      <c r="E51" s="5"/>
      <c r="F51" s="5"/>
      <c r="H51" s="6"/>
      <c r="I51" s="6"/>
      <c r="J51" s="6"/>
    </row>
    <row r="52" spans="5:10" x14ac:dyDescent="0.25">
      <c r="E52" s="5"/>
      <c r="F52" s="5"/>
      <c r="H52" s="6"/>
      <c r="I52" s="6"/>
      <c r="J52" s="6"/>
    </row>
    <row r="53" spans="5:10" x14ac:dyDescent="0.25">
      <c r="E53" s="5"/>
      <c r="F53" s="5"/>
      <c r="H53" s="6"/>
      <c r="I53" s="6"/>
      <c r="J53" s="6"/>
    </row>
    <row r="54" spans="5:10" x14ac:dyDescent="0.25">
      <c r="E54" s="5"/>
      <c r="F54" s="5"/>
      <c r="H54" s="6"/>
      <c r="I54" s="6"/>
      <c r="J54" s="6"/>
    </row>
  </sheetData>
  <dataValidations count="2">
    <dataValidation type="list" allowBlank="1" sqref="G10:G54">
      <formula1>"Submitted,Pending,Approved,Disputed,Withdrawn"</formula1>
    </dataValidation>
    <dataValidation type="list" allowBlank="1" sqref="G5:G54">
      <formula1>"Submitted,Pending,Approved,Disputed,Withdrawn"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40" customWidth="1"/>
    <col min="2" max="3" width="18" customWidth="1"/>
  </cols>
  <sheetData>
    <row r="1" spans="1:1" s="1" customFormat="1" x14ac:dyDescent="0.25">
      <c r="A1" s="1" t="s">
        <v>60</v>
      </c>
    </row>
    <row r="2" spans="1:1" s="2" customFormat="1" x14ac:dyDescent="0.25">
      <c r="A2" s="2" t="s">
        <v>61</v>
      </c>
    </row>
    <row r="4" spans="1:3" s="3" customFormat="1" x14ac:dyDescent="0.25">
      <c r="A4" s="4" t="s">
        <v>62</v>
      </c>
      <c r="B4" s="4" t="s">
        <v>63</v>
      </c>
      <c r="C4" s="4" t="s">
        <v>64</v>
      </c>
    </row>
    <row r="5" spans="1:3" x14ac:dyDescent="0.25">
      <c r="A5" t="s">
        <v>11</v>
      </c>
      <c r="B5" s="6">
        <f>SUMIFS('Claims register'!$J$5:$J$54,'Claims register'!$B$5:$B$54,"Sent")</f>
      </c>
      <c r="C5" s="6">
        <f>SUMIFS('Claims register'!$J$5:$J$54,'Claims register'!$B$5:$B$54,"Received")</f>
      </c>
    </row>
    <row r="6" spans="1:3" x14ac:dyDescent="0.25">
      <c r="A6" t="s">
        <v>12</v>
      </c>
      <c r="B6" s="6">
        <f>SUMIFS('Claims register'!$K$5:$K$54,'Claims register'!$B$5:$B$54,"Sent")</f>
      </c>
      <c r="C6" s="6">
        <f>SUMIFS('Claims register'!$K$5:$K$54,'Claims register'!$B$5:$B$54,"Received")</f>
      </c>
    </row>
    <row r="7" spans="1:3" x14ac:dyDescent="0.25">
      <c r="A7" t="s">
        <v>13</v>
      </c>
      <c r="B7" s="6">
        <f>SUMIFS('Claims register'!$L$5:$L$54,'Claims register'!$B$5:$B$54,"Sent")</f>
      </c>
      <c r="C7" s="6">
        <f>SUMIFS('Claims register'!$L$5:$L$54,'Claims register'!$B$5:$B$54,"Received")</f>
      </c>
    </row>
    <row r="8" spans="1:3" x14ac:dyDescent="0.25">
      <c r="A8" t="s">
        <v>18</v>
      </c>
      <c r="B8" s="6">
        <f>SUMIFS('Claims register'!$Q$5:$Q$54,'Claims register'!$B$5:$B$54,"Sent")</f>
      </c>
      <c r="C8" s="6">
        <f>SUMIFS('Claims register'!$Q$5:$Q$54,'Claims register'!$B$5:$B$54,"Received")</f>
      </c>
    </row>
    <row r="9" spans="1:3" x14ac:dyDescent="0.25">
      <c r="A9" t="s">
        <v>19</v>
      </c>
      <c r="B9" s="6">
        <f>SUMIFS('Claims register'!$R$5:$R$54,'Claims register'!$B$5:$B$54,"Sent")</f>
      </c>
      <c r="C9" s="6">
        <f>SUMIFS('Claims register'!$R$5:$R$54,'Claims register'!$B$5:$B$54,"Received")</f>
      </c>
    </row>
    <row r="10" spans="1:3" x14ac:dyDescent="0.25">
      <c r="A10" t="s">
        <v>65</v>
      </c>
      <c r="B10" s="6">
        <f>SUMIFS('Claims register'!$N$5:$N$54,'Claims register'!$B$5:$B$54,"Sent")</f>
      </c>
      <c r="C10" s="6">
        <f>SUMIFS('Claims register'!$N$5:$N$54,'Claims register'!$B$5:$B$54,"Received")</f>
      </c>
    </row>
    <row r="11" spans="1:3" x14ac:dyDescent="0.25">
      <c r="A11" t="s">
        <v>66</v>
      </c>
      <c r="B11" s="6">
        <f>SUMIFS('Claims register'!$O$5:$O$54,'Claims register'!$B$5:$B$54,"Sent")</f>
      </c>
      <c r="C11" s="6">
        <f>SUMIFS('Claims register'!$O$5:$O$54,'Claims register'!$B$5:$B$54,"Received")</f>
      </c>
    </row>
    <row r="12" spans="1:3" x14ac:dyDescent="0.25">
      <c r="A12" t="s">
        <v>21</v>
      </c>
      <c r="B12" s="6">
        <f>SUMIFS('Claims register'!$T$5:$T$54,'Claims register'!$B$5:$B$54,"Sent")</f>
      </c>
      <c r="C12" s="6">
        <f>SUMIFS('Claims register'!$T$5:$T$54,'Claims register'!$B$5:$B$54,"Received")</f>
      </c>
    </row>
    <row r="13" spans="1:3" x14ac:dyDescent="0.25">
      <c r="A13" t="s">
        <v>22</v>
      </c>
      <c r="B13" s="6">
        <f>SUMIFS('Claims register'!$U$5:$U$54,'Claims register'!$B$5:$B$54,"Sent")</f>
      </c>
      <c r="C13" s="6">
        <f>SUMIFS('Claims register'!$U$5:$U$54,'Claims register'!$B$5:$B$54,"Received")</f>
      </c>
    </row>
    <row r="14" spans="1:3" x14ac:dyDescent="0.25">
      <c r="A14" t="s">
        <v>67</v>
      </c>
      <c r="B14">
        <f>COUNTIFS('Claims register'!$B$5:$B$54,"Sent",'Claims register'!$V$5:$V$54,"Payment overdue")</f>
      </c>
      <c r="C14">
        <f>COUNTIFS('Claims register'!$B$5:$B$54,"Received",'Claims register'!$V$5:$V$54,"Payment overdue")</f>
      </c>
    </row>
    <row r="15" spans="1:3" x14ac:dyDescent="0.25">
      <c r="A15" t="s">
        <v>68</v>
      </c>
      <c r="B15">
        <f>COUNTIFS('Claims register'!$B$5:$B$54,"Sent",'Claims register'!$V$5:$V$54,"Schedule date passed: none recorded")</f>
      </c>
      <c r="C15">
        <f>COUNTIFS('Claims register'!$B$5:$B$54,"Received",'Claims register'!$V$5:$V$54,"Schedule date passed: none recorded")</f>
      </c>
    </row>
    <row r="17" spans="1:1" s="9" customFormat="1" x14ac:dyDescent="0.25">
      <c r="A17" s="9" t="s">
        <v>69</v>
      </c>
    </row>
    <row r="18" spans="1:1" s="2" customFormat="1" x14ac:dyDescent="0.25">
      <c r="A18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Claims register</vt:lpstr>
      <vt:lpstr>Variations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